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tables/table5.xml" ContentType="application/vnd.openxmlformats-officedocument.spreadsheetml.table+xml"/>
  <Override PartName="/xl/drawings/drawing8.xml" ContentType="application/vnd.openxmlformats-officedocument.drawing+xml"/>
  <Override PartName="/xl/tables/table6.xml" ContentType="application/vnd.openxmlformats-officedocument.spreadsheetml.table+xml"/>
  <Override PartName="/xl/drawings/drawing9.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tables/table14.xml" ContentType="application/vnd.openxmlformats-officedocument.spreadsheetml.table+xml"/>
  <Override PartName="/xl/tables/table1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https://ccvalleedoree-my.sharepoint.com/personal/j_claux_ccl-valleedoree_fr1/Documents/Bureau/"/>
    </mc:Choice>
  </mc:AlternateContent>
  <xr:revisionPtr revIDLastSave="28" documentId="13_ncr:1_{9833123F-6D03-4281-BC28-18149A4A3739}" xr6:coauthVersionLast="47" xr6:coauthVersionMax="47" xr10:uidLastSave="{ADD2FAA0-1360-4244-9622-900A12BCE3A8}"/>
  <bookViews>
    <workbookView xWindow="-120" yWindow="-120" windowWidth="29040" windowHeight="15720" tabRatio="870" firstSheet="2" activeTab="9" xr2:uid="{00000000-000D-0000-FFFF-FFFF00000000}"/>
  </bookViews>
  <sheets>
    <sheet name="Notice d'utilisation" sheetId="26" r:id="rId1"/>
    <sheet name="Synthèse plan d'actions" sheetId="28" r:id="rId2"/>
    <sheet name="Axe 1 Logement et bâti" sheetId="2" r:id="rId3"/>
    <sheet name="Axe 2 Déplacement" sheetId="16" r:id="rId4"/>
    <sheet name="Axe 3 Milieu naturel et prod" sheetId="17" r:id="rId5"/>
    <sheet name="Axe 4 Économie BC" sheetId="18" r:id="rId6"/>
    <sheet name="Axe 5 Exemplarité" sheetId="21" r:id="rId7"/>
    <sheet name="Axe Suivi qualité de l'air" sheetId="30" r:id="rId8"/>
    <sheet name="Récapitulatif évolution" sheetId="24" r:id="rId9"/>
    <sheet name="détail actions par an" sheetId="31" r:id="rId10"/>
  </sheets>
  <definedNames>
    <definedName name="domaines">#REF!</definedName>
    <definedName name="évol_polluants">'Récapitulatif évolution'!$LP$44:$MB$58</definedName>
    <definedName name="Print_Area" localSheetId="2">'Axe 1 Logement et bâti'!$A$1:$AA$53</definedName>
    <definedName name="Print_Area" localSheetId="3">'Axe 2 Déplacement'!$A$1:$AA$57</definedName>
    <definedName name="Print_Area" localSheetId="4">'Axe 3 Milieu naturel et prod'!$A$1:$AA$47</definedName>
    <definedName name="Print_Area" localSheetId="5">'Axe 4 Économie BC'!$A$1:$AA$51</definedName>
    <definedName name="Print_Area" localSheetId="6">'Axe 5 Exemplarité'!$A$1:$AA$48</definedName>
    <definedName name="Print_Area" localSheetId="7">'Axe Suivi qualité de l''air'!$A$1:$N$28</definedName>
    <definedName name="Print_Area" localSheetId="0">'Notice d''utilisation'!$A$1:$P$26</definedName>
    <definedName name="Print_Area" localSheetId="8">'Récapitulatif évolution'!$A$1:$U$248</definedName>
    <definedName name="Print_Area" localSheetId="1">'Synthèse plan d''actions'!$A$1:$F$41</definedName>
    <definedName name="_xlnm.Print_Area" localSheetId="2">'Axe 1 Logement et bâti'!$A$1:$Z$52</definedName>
    <definedName name="_xlnm.Print_Area" localSheetId="3">'Axe 2 Déplacement'!$A$1:$Z$58</definedName>
    <definedName name="_xlnm.Print_Area" localSheetId="4">'Axe 3 Milieu naturel et prod'!$A$1:$Z$46</definedName>
    <definedName name="_xlnm.Print_Area" localSheetId="5">'Axe 4 Économie BC'!$A$1:$Z$50</definedName>
    <definedName name="_xlnm.Print_Area" localSheetId="6">'Axe 5 Exemplarité'!$A$1:$Z$47</definedName>
    <definedName name="_xlnm.Print_Area" localSheetId="7">'Axe Suivi qualité de l''air'!$A$1:$M$27</definedName>
    <definedName name="_xlnm.Print_Area" localSheetId="9">'détail actions par an'!$A$1:$L$122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5" i="17" l="1"/>
  <c r="AF15" i="17"/>
  <c r="AF18" i="18"/>
  <c r="AE18" i="18"/>
  <c r="AH22" i="18"/>
  <c r="AE16" i="18"/>
  <c r="Y55" i="16"/>
  <c r="Z55" i="16"/>
  <c r="LQ29" i="24"/>
  <c r="LR29" i="24"/>
  <c r="LW54" i="24"/>
  <c r="LW53" i="24" s="1"/>
  <c r="LQ54" i="24"/>
  <c r="LZ53" i="24"/>
  <c r="LZ49" i="24"/>
  <c r="LX46" i="24"/>
  <c r="LV51" i="24"/>
  <c r="LV47" i="24"/>
  <c r="LW56" i="24"/>
  <c r="F22" i="30"/>
  <c r="LR47" i="24" s="1"/>
  <c r="G22" i="30"/>
  <c r="LR48" i="24" s="1"/>
  <c r="H22" i="30"/>
  <c r="LR49" i="24" s="1"/>
  <c r="I22" i="30"/>
  <c r="LR50" i="24" s="1"/>
  <c r="J22" i="30"/>
  <c r="LR51" i="24" s="1"/>
  <c r="K22" i="30"/>
  <c r="LR52" i="24" s="1"/>
  <c r="L22" i="30"/>
  <c r="LR53" i="24" s="1"/>
  <c r="M22" i="30"/>
  <c r="LR54" i="24" s="1"/>
  <c r="F23" i="30"/>
  <c r="LT47" i="24" s="1"/>
  <c r="G23" i="30"/>
  <c r="LT48" i="24" s="1"/>
  <c r="H23" i="30"/>
  <c r="LT49" i="24" s="1"/>
  <c r="I23" i="30"/>
  <c r="LT50" i="24" s="1"/>
  <c r="J23" i="30"/>
  <c r="LT51" i="24" s="1"/>
  <c r="K23" i="30"/>
  <c r="LT52" i="24" s="1"/>
  <c r="L23" i="30"/>
  <c r="LT53" i="24" s="1"/>
  <c r="M23" i="30"/>
  <c r="LT54" i="24" s="1"/>
  <c r="F24" i="30"/>
  <c r="G24" i="30"/>
  <c r="LV48" i="24" s="1"/>
  <c r="H24" i="30"/>
  <c r="LV49" i="24" s="1"/>
  <c r="I24" i="30"/>
  <c r="LV50" i="24" s="1"/>
  <c r="J24" i="30"/>
  <c r="K24" i="30"/>
  <c r="LV52" i="24" s="1"/>
  <c r="L24" i="30"/>
  <c r="LV53" i="24" s="1"/>
  <c r="M24" i="30"/>
  <c r="LV54" i="24" s="1"/>
  <c r="F25" i="30"/>
  <c r="LX47" i="24" s="1"/>
  <c r="G25" i="30"/>
  <c r="LX48" i="24" s="1"/>
  <c r="H25" i="30"/>
  <c r="LX49" i="24" s="1"/>
  <c r="I25" i="30"/>
  <c r="LX50" i="24" s="1"/>
  <c r="J25" i="30"/>
  <c r="LX51" i="24" s="1"/>
  <c r="K25" i="30"/>
  <c r="LX52" i="24" s="1"/>
  <c r="L25" i="30"/>
  <c r="LX53" i="24" s="1"/>
  <c r="M25" i="30"/>
  <c r="LX54" i="24" s="1"/>
  <c r="F26" i="30"/>
  <c r="LZ47" i="24" s="1"/>
  <c r="G26" i="30"/>
  <c r="LZ48" i="24" s="1"/>
  <c r="H26" i="30"/>
  <c r="I26" i="30"/>
  <c r="LZ50" i="24" s="1"/>
  <c r="J26" i="30"/>
  <c r="LZ51" i="24" s="1"/>
  <c r="K26" i="30"/>
  <c r="LZ52" i="24" s="1"/>
  <c r="L26" i="30"/>
  <c r="M26" i="30"/>
  <c r="LZ54" i="24" s="1"/>
  <c r="F27" i="30"/>
  <c r="MB47" i="24" s="1"/>
  <c r="G27" i="30"/>
  <c r="MB48" i="24" s="1"/>
  <c r="H27" i="30"/>
  <c r="MB49" i="24" s="1"/>
  <c r="I27" i="30"/>
  <c r="MB50" i="24" s="1"/>
  <c r="J27" i="30"/>
  <c r="MB51" i="24" s="1"/>
  <c r="K27" i="30"/>
  <c r="MB52" i="24" s="1"/>
  <c r="L27" i="30"/>
  <c r="MB53" i="24" s="1"/>
  <c r="M27" i="30"/>
  <c r="MB54" i="24" s="1"/>
  <c r="E27" i="30"/>
  <c r="MB46" i="24" s="1"/>
  <c r="E26" i="30"/>
  <c r="LZ46" i="24" s="1"/>
  <c r="E25" i="30"/>
  <c r="E24" i="30"/>
  <c r="LV46" i="24" s="1"/>
  <c r="E23" i="30"/>
  <c r="LT46" i="24" s="1"/>
  <c r="E22" i="30"/>
  <c r="LR46" i="24" s="1"/>
  <c r="S46" i="17"/>
  <c r="T46" i="17"/>
  <c r="LV16" i="24" s="1"/>
  <c r="U46" i="17"/>
  <c r="V46" i="17"/>
  <c r="LV18" i="24" s="1"/>
  <c r="W46" i="17"/>
  <c r="X46" i="17"/>
  <c r="Y46" i="17"/>
  <c r="Z46" i="17"/>
  <c r="R46" i="17"/>
  <c r="LV14" i="24" s="1"/>
  <c r="G54" i="24" l="1" a="1"/>
  <c r="LW48" i="24"/>
  <c r="LW52" i="24"/>
  <c r="LQ41" i="24"/>
  <c r="J54" i="24" a="1"/>
  <c r="J54" i="24" s="1"/>
  <c r="LW46" i="24"/>
  <c r="LW50" i="24"/>
  <c r="LQ39" i="24"/>
  <c r="LQ31" i="24" s="1"/>
  <c r="L54" i="24" a="1"/>
  <c r="L54" i="24" s="1"/>
  <c r="K54" i="24" a="1"/>
  <c r="K54" i="24" s="1"/>
  <c r="K55" i="24" s="1"/>
  <c r="LR39" i="24"/>
  <c r="LR38" i="24" s="1"/>
  <c r="LW47" i="24"/>
  <c r="LW49" i="24"/>
  <c r="LW51" i="24"/>
  <c r="LQ32" i="24"/>
  <c r="LR41" i="24"/>
  <c r="LR36" i="24"/>
  <c r="G54" i="24"/>
  <c r="LV22" i="24"/>
  <c r="LV21" i="24"/>
  <c r="LV20" i="24"/>
  <c r="LV19" i="24"/>
  <c r="LV17" i="24"/>
  <c r="LV15" i="24"/>
  <c r="LR32" i="24" l="1"/>
  <c r="LQ36" i="24"/>
  <c r="LQ35" i="24"/>
  <c r="LR33" i="24"/>
  <c r="LR34" i="24"/>
  <c r="LQ34" i="24"/>
  <c r="LR37" i="24"/>
  <c r="LQ37" i="24"/>
  <c r="LQ33" i="24"/>
  <c r="LQ38" i="24"/>
  <c r="LR35" i="24"/>
  <c r="LR31" i="24"/>
  <c r="S50" i="18"/>
  <c r="LZ32" i="24" s="1"/>
  <c r="S48" i="18"/>
  <c r="LZ15" i="24" s="1"/>
  <c r="S47" i="18"/>
  <c r="AF22" i="21"/>
  <c r="AE22" i="21"/>
  <c r="Z44" i="17"/>
  <c r="MH29" i="24"/>
  <c r="MH27" i="24" s="1"/>
  <c r="MG29" i="24"/>
  <c r="MF29" i="24"/>
  <c r="MF27" i="24" s="1"/>
  <c r="ME29" i="24"/>
  <c r="ME27" i="24" s="1"/>
  <c r="LY12" i="24"/>
  <c r="LY29" i="24"/>
  <c r="AF26" i="2" s="1"/>
  <c r="MF12" i="24"/>
  <c r="MF16" i="24" s="1"/>
  <c r="MG27" i="24" l="1"/>
  <c r="MG39" i="24"/>
  <c r="AF16" i="18" s="1"/>
  <c r="S49" i="18" s="1"/>
  <c r="MB32" i="24" s="1"/>
  <c r="MG37" i="24"/>
  <c r="MG35" i="24"/>
  <c r="MG33" i="24"/>
  <c r="MG31" i="24"/>
  <c r="MG38" i="24"/>
  <c r="MG36" i="24"/>
  <c r="MG34" i="24"/>
  <c r="MG32" i="24"/>
  <c r="MD12" i="24"/>
  <c r="AE26" i="2" s="1"/>
  <c r="S51" i="2" s="1"/>
  <c r="LQ12" i="24"/>
  <c r="MB15" i="24"/>
  <c r="MD29" i="24"/>
  <c r="MD27" i="24" s="1"/>
  <c r="Z50" i="18"/>
  <c r="LZ39" i="24" s="1"/>
  <c r="V50" i="18"/>
  <c r="LZ35" i="24" s="1"/>
  <c r="Z48" i="18"/>
  <c r="LZ22" i="24" s="1"/>
  <c r="V48" i="18"/>
  <c r="LZ18" i="24" s="1"/>
  <c r="R48" i="18"/>
  <c r="LZ14" i="24" s="1"/>
  <c r="X50" i="18"/>
  <c r="LZ37" i="24" s="1"/>
  <c r="T50" i="18"/>
  <c r="LZ33" i="24" s="1"/>
  <c r="X48" i="18"/>
  <c r="LZ20" i="24" s="1"/>
  <c r="T48" i="18"/>
  <c r="LZ16" i="24" s="1"/>
  <c r="MD18" i="24"/>
  <c r="MD16" i="24"/>
  <c r="R49" i="18"/>
  <c r="MB31" i="24" s="1"/>
  <c r="Z47" i="18"/>
  <c r="MB22" i="24" s="1"/>
  <c r="X47" i="18"/>
  <c r="MB20" i="24" s="1"/>
  <c r="V47" i="18"/>
  <c r="MB18" i="24" s="1"/>
  <c r="T47" i="18"/>
  <c r="MF15" i="24"/>
  <c r="MF18" i="24"/>
  <c r="R50" i="18"/>
  <c r="LZ31" i="24" s="1"/>
  <c r="R47" i="18"/>
  <c r="MB14" i="24" s="1"/>
  <c r="Y50" i="18"/>
  <c r="LZ38" i="24" s="1"/>
  <c r="W50" i="18"/>
  <c r="LZ36" i="24" s="1"/>
  <c r="U50" i="18"/>
  <c r="LZ34" i="24" s="1"/>
  <c r="Y48" i="18"/>
  <c r="LZ21" i="24" s="1"/>
  <c r="W48" i="18"/>
  <c r="LZ19" i="24" s="1"/>
  <c r="U48" i="18"/>
  <c r="LZ17" i="24" s="1"/>
  <c r="Y47" i="18"/>
  <c r="MB21" i="24" s="1"/>
  <c r="W47" i="18"/>
  <c r="MB19" i="24" s="1"/>
  <c r="U47" i="18"/>
  <c r="MB17" i="24" s="1"/>
  <c r="MH12" i="24"/>
  <c r="MG12" i="24"/>
  <c r="ME12" i="24"/>
  <c r="Y49" i="18" l="1"/>
  <c r="MB38" i="24" s="1"/>
  <c r="T49" i="18"/>
  <c r="MB33" i="24" s="1"/>
  <c r="U49" i="18"/>
  <c r="MB34" i="24" s="1"/>
  <c r="X49" i="18"/>
  <c r="MB37" i="24" s="1"/>
  <c r="LQ24" i="24"/>
  <c r="LR12" i="24"/>
  <c r="LQ22" i="24"/>
  <c r="LQ19" i="24" s="1"/>
  <c r="LQ18" i="24"/>
  <c r="LQ14" i="24"/>
  <c r="W49" i="18"/>
  <c r="MB36" i="24" s="1"/>
  <c r="V49" i="18"/>
  <c r="MB35" i="24" s="1"/>
  <c r="Z49" i="18"/>
  <c r="MB39" i="24" s="1"/>
  <c r="MB16" i="24"/>
  <c r="ME18" i="24"/>
  <c r="ME16" i="24"/>
  <c r="S46" i="21"/>
  <c r="T46" i="21"/>
  <c r="U46" i="21"/>
  <c r="W46" i="21"/>
  <c r="X46" i="21"/>
  <c r="Y46" i="21"/>
  <c r="Z46" i="21"/>
  <c r="S47" i="21"/>
  <c r="T47" i="21"/>
  <c r="Z47" i="21"/>
  <c r="R47" i="21"/>
  <c r="R46" i="21"/>
  <c r="U47" i="21"/>
  <c r="V46" i="21"/>
  <c r="LQ21" i="24" l="1"/>
  <c r="LQ16" i="24"/>
  <c r="LQ20" i="24"/>
  <c r="LQ17" i="24"/>
  <c r="LS12" i="24"/>
  <c r="LR24" i="24"/>
  <c r="LR22" i="24"/>
  <c r="LR21" i="24" s="1"/>
  <c r="LR18" i="24"/>
  <c r="LR19" i="24"/>
  <c r="LR20" i="24"/>
  <c r="LQ15" i="24"/>
  <c r="X47" i="21"/>
  <c r="W47" i="21"/>
  <c r="Y47" i="21"/>
  <c r="V47" i="21"/>
  <c r="LR17" i="24" l="1"/>
  <c r="LR16" i="24"/>
  <c r="LR15" i="24"/>
  <c r="LR14" i="24"/>
  <c r="C20" i="24" s="1" a="1"/>
  <c r="C20" i="24" s="1"/>
  <c r="Z45" i="17"/>
  <c r="MC39" i="24" s="1"/>
  <c r="S45" i="17"/>
  <c r="MC32" i="24" s="1"/>
  <c r="S44" i="17"/>
  <c r="MC15" i="24" s="1"/>
  <c r="R55" i="16"/>
  <c r="MA14" i="24" s="1"/>
  <c r="T55" i="16"/>
  <c r="MA16" i="24" s="1"/>
  <c r="S56" i="16"/>
  <c r="MA32" i="24" s="1"/>
  <c r="S55" i="16"/>
  <c r="MA15" i="24" s="1"/>
  <c r="S52" i="2"/>
  <c r="LY32" i="24" s="1"/>
  <c r="LY15" i="24" l="1"/>
  <c r="LS15" i="24" s="1"/>
  <c r="LS32" i="24" a="1"/>
  <c r="LS32" i="24" s="1"/>
  <c r="X45" i="17"/>
  <c r="MC37" i="24" s="1"/>
  <c r="X55" i="16"/>
  <c r="MA20" i="24" s="1"/>
  <c r="V45" i="17"/>
  <c r="MC35" i="24" s="1"/>
  <c r="V55" i="16"/>
  <c r="MA18" i="24" s="1"/>
  <c r="T45" i="17"/>
  <c r="MC33" i="24" s="1"/>
  <c r="R44" i="17"/>
  <c r="MC14" i="24" s="1"/>
  <c r="MC22" i="24"/>
  <c r="X44" i="17"/>
  <c r="MC20" i="24" s="1"/>
  <c r="V44" i="17"/>
  <c r="MC18" i="24" s="1"/>
  <c r="T44" i="17"/>
  <c r="MC16" i="24" s="1"/>
  <c r="R45" i="17"/>
  <c r="MC31" i="24" s="1"/>
  <c r="Y45" i="17"/>
  <c r="MC38" i="24" s="1"/>
  <c r="W45" i="17"/>
  <c r="MC36" i="24" s="1"/>
  <c r="U45" i="17"/>
  <c r="MC34" i="24" s="1"/>
  <c r="Y44" i="17"/>
  <c r="MC21" i="24" s="1"/>
  <c r="W44" i="17"/>
  <c r="MC19" i="24" s="1"/>
  <c r="U44" i="17"/>
  <c r="MC17" i="24" s="1"/>
  <c r="X52" i="2"/>
  <c r="LY37" i="24" s="1"/>
  <c r="T52" i="2"/>
  <c r="LY33" i="24" s="1"/>
  <c r="Z56" i="16"/>
  <c r="MA39" i="24" s="1"/>
  <c r="X56" i="16"/>
  <c r="MA37" i="24" s="1"/>
  <c r="V56" i="16"/>
  <c r="MA35" i="24" s="1"/>
  <c r="T56" i="16"/>
  <c r="MA33" i="24" s="1"/>
  <c r="R56" i="16"/>
  <c r="MA31" i="24" s="1"/>
  <c r="Z52" i="2"/>
  <c r="LY39" i="24" s="1"/>
  <c r="V52" i="2"/>
  <c r="LY35" i="24" s="1"/>
  <c r="MA22" i="24"/>
  <c r="MA21" i="24"/>
  <c r="W55" i="16"/>
  <c r="MA19" i="24" s="1"/>
  <c r="U55" i="16"/>
  <c r="MA17" i="24" s="1"/>
  <c r="Y56" i="16"/>
  <c r="MA38" i="24" s="1"/>
  <c r="W56" i="16"/>
  <c r="MA36" i="24" s="1"/>
  <c r="U56" i="16"/>
  <c r="MA34" i="24" s="1"/>
  <c r="R51" i="2"/>
  <c r="Z51" i="2"/>
  <c r="X51" i="2"/>
  <c r="V51" i="2"/>
  <c r="T51" i="2"/>
  <c r="R52" i="2"/>
  <c r="LY31" i="24" s="1"/>
  <c r="Y52" i="2"/>
  <c r="LY38" i="24" s="1"/>
  <c r="W52" i="2"/>
  <c r="LY36" i="24" s="1"/>
  <c r="U52" i="2"/>
  <c r="LY34" i="24" s="1"/>
  <c r="Y51" i="2"/>
  <c r="W51" i="2"/>
  <c r="U51" i="2"/>
  <c r="ME36" i="24"/>
  <c r="MF36" i="24"/>
  <c r="MH36" i="24"/>
  <c r="ME37" i="24"/>
  <c r="MF37" i="24"/>
  <c r="MH37" i="24"/>
  <c r="ME38" i="24"/>
  <c r="MF38" i="24"/>
  <c r="MH38" i="24"/>
  <c r="MD38" i="24"/>
  <c r="MD37" i="24"/>
  <c r="MD36" i="24"/>
  <c r="ME19" i="24"/>
  <c r="MF19" i="24"/>
  <c r="MG19" i="24"/>
  <c r="MH19" i="24"/>
  <c r="ME20" i="24"/>
  <c r="MF20" i="24"/>
  <c r="MG20" i="24"/>
  <c r="MH20" i="24"/>
  <c r="ME21" i="24"/>
  <c r="MF21" i="24"/>
  <c r="MG21" i="24"/>
  <c r="MH21" i="24"/>
  <c r="MD21" i="24"/>
  <c r="MD20" i="24"/>
  <c r="MD19" i="24"/>
  <c r="MD14" i="24"/>
  <c r="MA56" i="24"/>
  <c r="MA54" i="24"/>
  <c r="MA48" i="24"/>
  <c r="MA46" i="24" s="1"/>
  <c r="LY56" i="24"/>
  <c r="LY54" i="24"/>
  <c r="LY48" i="24"/>
  <c r="LY47" i="24" s="1"/>
  <c r="LU56" i="24"/>
  <c r="LU54" i="24"/>
  <c r="LU48" i="24"/>
  <c r="LS48" i="24"/>
  <c r="LS56" i="24"/>
  <c r="LS54" i="24"/>
  <c r="LS51" i="24" s="1"/>
  <c r="MA47" i="24"/>
  <c r="LQ56" i="24"/>
  <c r="LQ48" i="24"/>
  <c r="LQ47" i="24" s="1"/>
  <c r="MF32" i="24"/>
  <c r="ME32" i="24"/>
  <c r="ME33" i="24"/>
  <c r="MF33" i="24"/>
  <c r="MH33" i="24"/>
  <c r="MD33" i="24"/>
  <c r="MD32" i="24"/>
  <c r="MD31" i="24"/>
  <c r="MH34" i="24"/>
  <c r="MF34" i="24"/>
  <c r="ME34" i="24"/>
  <c r="MD34" i="24"/>
  <c r="MH32" i="24"/>
  <c r="MH31" i="24"/>
  <c r="MF31" i="24"/>
  <c r="ME31" i="24"/>
  <c r="MD17" i="24"/>
  <c r="ME17" i="24"/>
  <c r="MF17" i="24"/>
  <c r="MG17" i="24"/>
  <c r="MH17" i="24"/>
  <c r="ME15" i="24"/>
  <c r="MG15" i="24"/>
  <c r="MH15" i="24"/>
  <c r="MD15" i="24"/>
  <c r="ME14" i="24"/>
  <c r="MF14" i="24"/>
  <c r="MG14" i="24"/>
  <c r="MH14" i="24"/>
  <c r="LU14" i="24"/>
  <c r="LU21" i="24"/>
  <c r="LU15" i="24"/>
  <c r="LU16" i="24"/>
  <c r="LU17" i="24"/>
  <c r="LU18" i="24"/>
  <c r="LU19" i="24"/>
  <c r="LU20" i="24"/>
  <c r="LY17" i="24" l="1"/>
  <c r="LS17" i="24" s="1"/>
  <c r="LS34" i="24" a="1"/>
  <c r="LS34" i="24" s="1"/>
  <c r="LY21" i="24"/>
  <c r="LS21" i="24" s="1"/>
  <c r="LS38" i="24" a="1"/>
  <c r="LS38" i="24" s="1"/>
  <c r="LY18" i="24"/>
  <c r="LS18" i="24" s="1"/>
  <c r="LS35" i="24" a="1"/>
  <c r="LS35" i="24" s="1"/>
  <c r="LY22" i="24"/>
  <c r="LS22" i="24" s="1"/>
  <c r="LS39" i="24" a="1"/>
  <c r="LS39" i="24" s="1"/>
  <c r="LY19" i="24"/>
  <c r="LS19" i="24" s="1"/>
  <c r="LS36" i="24" a="1"/>
  <c r="LS36" i="24" s="1"/>
  <c r="LY16" i="24"/>
  <c r="LS16" i="24" s="1"/>
  <c r="LS33" i="24" a="1"/>
  <c r="LS33" i="24" s="1"/>
  <c r="LY20" i="24"/>
  <c r="LS20" i="24" s="1"/>
  <c r="LS37" i="24" a="1"/>
  <c r="LS37" i="24" s="1"/>
  <c r="LY14" i="24"/>
  <c r="LS14" i="24" s="1"/>
  <c r="C21" i="24" s="1" a="1"/>
  <c r="C21" i="24" s="1"/>
  <c r="LS31" i="24" a="1"/>
  <c r="LS31" i="24" s="1"/>
  <c r="LU47" i="24"/>
  <c r="J36" i="24" a="1"/>
  <c r="J36" i="24" s="1"/>
  <c r="J37" i="24" s="1"/>
  <c r="LU46" i="24"/>
  <c r="LQ46" i="24"/>
  <c r="LU52" i="24"/>
  <c r="LS52" i="24"/>
  <c r="LQ50" i="24"/>
  <c r="C36" i="24" a="1"/>
  <c r="C36" i="24" s="1"/>
  <c r="LU51" i="24"/>
  <c r="LS46" i="24"/>
  <c r="K20" i="24" a="1"/>
  <c r="K20" i="24" s="1"/>
  <c r="K21" i="24" s="1"/>
  <c r="I20" i="24" a="1"/>
  <c r="I20" i="24" s="1"/>
  <c r="I21" i="24" s="1"/>
  <c r="LS50" i="24"/>
  <c r="MA51" i="24"/>
  <c r="MA53" i="24"/>
  <c r="LQ49" i="24"/>
  <c r="LS47" i="24"/>
  <c r="LY51" i="24"/>
  <c r="H36" i="24" a="1"/>
  <c r="H36" i="24" s="1"/>
  <c r="H37" i="24" s="1"/>
  <c r="K36" i="24" a="1"/>
  <c r="K36" i="24" s="1"/>
  <c r="K37" i="24" s="1"/>
  <c r="I36" i="24" a="1"/>
  <c r="I36" i="24" s="1"/>
  <c r="I37" i="24" s="1"/>
  <c r="LQ52" i="24"/>
  <c r="LS49" i="24"/>
  <c r="LY50" i="24"/>
  <c r="MA49" i="24"/>
  <c r="L52" i="24" s="1" a="1"/>
  <c r="L52" i="24" s="1"/>
  <c r="J38" i="24" a="1"/>
  <c r="J38" i="24" s="1"/>
  <c r="J39" i="24" s="1"/>
  <c r="LY52" i="24"/>
  <c r="MA52" i="24"/>
  <c r="LU53" i="24"/>
  <c r="LU49" i="24"/>
  <c r="LY53" i="24"/>
  <c r="LU50" i="24"/>
  <c r="LQ51" i="24"/>
  <c r="LY49" i="24"/>
  <c r="D21" i="24" a="1"/>
  <c r="D21" i="24" s="1"/>
  <c r="J20" i="24" a="1"/>
  <c r="J20" i="24" s="1"/>
  <c r="J21" i="24" s="1"/>
  <c r="H20" i="24" a="1"/>
  <c r="H20" i="24" s="1"/>
  <c r="H21" i="24" s="1"/>
  <c r="G36" i="24" a="1"/>
  <c r="G36" i="24" s="1"/>
  <c r="G37" i="24" s="1"/>
  <c r="LQ53" i="24"/>
  <c r="MA50" i="24"/>
  <c r="LS53" i="24"/>
  <c r="LY46" i="24"/>
  <c r="G20" i="24" a="1"/>
  <c r="G20" i="24" s="1"/>
  <c r="J22" i="24" a="1"/>
  <c r="J22" i="24" s="1"/>
  <c r="J23" i="24" s="1"/>
  <c r="LT20" i="24"/>
  <c r="LT17" i="24"/>
  <c r="D20" i="24" a="1"/>
  <c r="D20" i="24" s="1"/>
  <c r="LT15" i="24"/>
  <c r="LT19" i="24"/>
  <c r="LT21" i="24"/>
  <c r="LT14" i="24"/>
  <c r="LT16" i="24"/>
  <c r="LT18" i="24"/>
  <c r="J52" i="24" l="1" a="1"/>
  <c r="J52" i="24" s="1"/>
  <c r="J53" i="24" s="1"/>
  <c r="G21" i="24"/>
  <c r="H52" i="24" a="1"/>
  <c r="H52" i="24" s="1"/>
  <c r="H53" i="24" s="1"/>
  <c r="G52" i="24" a="1"/>
  <c r="G52" i="24" s="1"/>
  <c r="G53" i="24" s="1"/>
  <c r="I52" i="24" a="1"/>
  <c r="I52" i="24" s="1"/>
  <c r="I53" i="24" s="1"/>
  <c r="J40" i="24"/>
  <c r="L53" i="24"/>
  <c r="L55" i="24"/>
  <c r="H54" i="24" a="1"/>
  <c r="H54" i="24" s="1"/>
  <c r="H55" i="24" s="1"/>
  <c r="D22" i="24"/>
  <c r="J55" i="24"/>
  <c r="G55" i="24"/>
  <c r="I54" i="24" a="1"/>
  <c r="I54" i="24" s="1"/>
  <c r="I55" i="24" s="1"/>
  <c r="J24" i="24"/>
  <c r="C37" i="24" l="1" a="1"/>
  <c r="H56" i="24"/>
  <c r="H22" i="24" a="1"/>
  <c r="H22" i="24" s="1"/>
  <c r="H24" i="24" s="1"/>
  <c r="K38" i="24" a="1"/>
  <c r="K38" i="24" s="1"/>
  <c r="K39" i="24" s="1"/>
  <c r="I22" i="24" a="1"/>
  <c r="I22" i="24" s="1"/>
  <c r="I24" i="24" s="1"/>
  <c r="G38" i="24" a="1"/>
  <c r="G38" i="24" s="1"/>
  <c r="G40" i="24" s="1"/>
  <c r="H38" i="24" a="1"/>
  <c r="H38" i="24" s="1"/>
  <c r="H39" i="24" s="1"/>
  <c r="K22" i="24" a="1"/>
  <c r="K22" i="24" s="1"/>
  <c r="G22" i="24" a="1"/>
  <c r="I56" i="24"/>
  <c r="J56" i="24"/>
  <c r="G56" i="24"/>
  <c r="L56" i="24"/>
  <c r="G22" i="24"/>
  <c r="G24" i="24" s="1"/>
  <c r="I38" i="24" a="1"/>
  <c r="I38" i="24" s="1"/>
  <c r="K23" i="24" l="1"/>
  <c r="K24" i="24"/>
  <c r="G23" i="24"/>
  <c r="C37" i="24"/>
  <c r="C38" i="24" s="1"/>
  <c r="C22" i="24"/>
  <c r="K40" i="24"/>
  <c r="G39" i="24"/>
  <c r="H40" i="24"/>
  <c r="H23" i="24"/>
  <c r="I39" i="24"/>
  <c r="I40" i="24"/>
  <c r="I23" i="24"/>
  <c r="K52" i="24" a="1"/>
  <c r="K52" i="24" s="1"/>
  <c r="K53" i="24" s="1"/>
  <c r="K56"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Justine B.</author>
  </authors>
  <commentList>
    <comment ref="C7" authorId="0" shapeId="0" xr:uid="{E1684A86-B884-4C8B-B78C-73A3D8F8D06D}">
      <text>
        <r>
          <rPr>
            <b/>
            <sz val="9"/>
            <color indexed="81"/>
            <rFont val="Tahoma"/>
            <charset val="1"/>
          </rPr>
          <t>Justine B.:</t>
        </r>
        <r>
          <rPr>
            <sz val="9"/>
            <color indexed="81"/>
            <rFont val="Tahoma"/>
            <charset val="1"/>
          </rPr>
          <t xml:space="preserve">
à harmoniser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<sst xmlns="http://schemas.openxmlformats.org/spreadsheetml/2006/main" count="1948" uniqueCount="761">
  <si>
    <t>Résidentiel</t>
  </si>
  <si>
    <t>Tertiaire</t>
  </si>
  <si>
    <t>Agriculture</t>
  </si>
  <si>
    <t>PLAN CLIMAT AIR ÉNERGIE</t>
  </si>
  <si>
    <t>AXE</t>
  </si>
  <si>
    <t>Actions</t>
  </si>
  <si>
    <t>Indicateurs</t>
  </si>
  <si>
    <t>Unité</t>
  </si>
  <si>
    <t>Atténuation</t>
  </si>
  <si>
    <t>Adaptation</t>
  </si>
  <si>
    <t>Qualité de l'air</t>
  </si>
  <si>
    <t>Gwh</t>
  </si>
  <si>
    <t>La mobilisation de temps humains de la part de certains services est nécessaire dans certaines actions.</t>
  </si>
  <si>
    <t>Santé</t>
  </si>
  <si>
    <t>Moyens humains</t>
  </si>
  <si>
    <t>Subventions et financements</t>
  </si>
  <si>
    <t>Budget</t>
  </si>
  <si>
    <t>1 logement rénové</t>
  </si>
  <si>
    <t xml:space="preserve"> Indiateurs de suivi des impacts du PCAET</t>
  </si>
  <si>
    <t>2023*</t>
  </si>
  <si>
    <t>2026*</t>
  </si>
  <si>
    <t>Objectifs</t>
  </si>
  <si>
    <t>Niveau d'impact attendu sur les thématiques du PCAET</t>
  </si>
  <si>
    <t>Pilotage</t>
  </si>
  <si>
    <t>Récapitulatif sectoriel</t>
  </si>
  <si>
    <t>Réduction des consommations énergétiques</t>
  </si>
  <si>
    <t>Réduction des émissions de GES</t>
  </si>
  <si>
    <t>TeqCO2</t>
  </si>
  <si>
    <t>Evolution des consommations énergétiques et de la production d'EnR&amp;R</t>
  </si>
  <si>
    <t>Evolution des émissions de GES et de la séquestration carbone</t>
  </si>
  <si>
    <t>Evolution de la qualité de l'air</t>
  </si>
  <si>
    <t>Evolution des consommations et EnR&amp;R</t>
  </si>
  <si>
    <t>Objectif atteint en %</t>
  </si>
  <si>
    <t>Consommations : objectif réglementaire</t>
  </si>
  <si>
    <t>Objectif atteint (année N)</t>
  </si>
  <si>
    <t>Consommations d'énergie totale (Gwh)</t>
  </si>
  <si>
    <t>Production d'EnR&amp;R (Gwh)</t>
  </si>
  <si>
    <t>Consommations en Gwh</t>
  </si>
  <si>
    <t>Transports</t>
  </si>
  <si>
    <t>Industrie</t>
  </si>
  <si>
    <t>Répartition sectorielle réelle</t>
  </si>
  <si>
    <t>Année de suivi</t>
  </si>
  <si>
    <t>Colonne1</t>
  </si>
  <si>
    <t>Colonne2</t>
  </si>
  <si>
    <t>Atteinte des objectifs</t>
  </si>
  <si>
    <t>Résidentiel réel</t>
  </si>
  <si>
    <t>Tertiaire réel</t>
  </si>
  <si>
    <t>Transport réel réel</t>
  </si>
  <si>
    <t>Industrie réel</t>
  </si>
  <si>
    <t>Agriculture réel</t>
  </si>
  <si>
    <t>Résidentiel objectif</t>
  </si>
  <si>
    <t>Tertiaire obj</t>
  </si>
  <si>
    <t>Transport obj</t>
  </si>
  <si>
    <t>Industrie obj</t>
  </si>
  <si>
    <t>Agriculture obj</t>
  </si>
  <si>
    <t>Objectif stratégie en %</t>
  </si>
  <si>
    <t>Objectif stratégie (année N)</t>
  </si>
  <si>
    <t>Emissions de GES (TeqCO2)</t>
  </si>
  <si>
    <t>Emissions de GES en TeqCO2</t>
  </si>
  <si>
    <t xml:space="preserve">Evolution des émissions et séquestration </t>
  </si>
  <si>
    <t>GES : objectif réglementaire</t>
  </si>
  <si>
    <t>GES : Mesure réelle</t>
  </si>
  <si>
    <t>GES : Objectif stratégie</t>
  </si>
  <si>
    <t>Séquestration : Objectif réglementaire</t>
  </si>
  <si>
    <t>Séquestration : Objectif stratégie</t>
  </si>
  <si>
    <t>Séquestration : Mesure réelle</t>
  </si>
  <si>
    <t>Hors aéroport</t>
  </si>
  <si>
    <t xml:space="preserve">NOX : mesures réelles </t>
  </si>
  <si>
    <t>PM 10 : mesures réelles</t>
  </si>
  <si>
    <t>PM 2,5 : mesures réelles</t>
  </si>
  <si>
    <t>NH3 : mesures réelles</t>
  </si>
  <si>
    <t>Evolution des émissions de polluants en tonnes</t>
  </si>
  <si>
    <t>PM10</t>
  </si>
  <si>
    <t>PM2,5</t>
  </si>
  <si>
    <t>NOx</t>
  </si>
  <si>
    <t>SO2</t>
  </si>
  <si>
    <t>COVNM</t>
  </si>
  <si>
    <t>NH3</t>
  </si>
  <si>
    <t>Recap habitat</t>
  </si>
  <si>
    <t>Recap Mobilité</t>
  </si>
  <si>
    <t>Recap Economie</t>
  </si>
  <si>
    <t>Recap Environnement</t>
  </si>
  <si>
    <t>Recap Exemplarité</t>
  </si>
  <si>
    <t>Liste déroulante Années</t>
  </si>
  <si>
    <t>Cases à remplir</t>
  </si>
  <si>
    <t>Outil de suivi et d'évaluation de la mise en œuvre du plan d'actions</t>
  </si>
  <si>
    <t>Axes</t>
  </si>
  <si>
    <t>responsable du suivi</t>
  </si>
  <si>
    <t>Accès direct à l'onglet récapitulatif de l'évolution</t>
  </si>
  <si>
    <t>2020.560-E07 Tableau_suivi_PCAET</t>
  </si>
  <si>
    <t>2022*</t>
  </si>
  <si>
    <t>2024*</t>
  </si>
  <si>
    <t>2025*</t>
  </si>
  <si>
    <t>2027*</t>
  </si>
  <si>
    <t>2028*</t>
  </si>
  <si>
    <t>2029*</t>
  </si>
  <si>
    <t>2030*</t>
  </si>
  <si>
    <t>Synthèse du plan d'actions</t>
  </si>
  <si>
    <t>Orientation stratégique</t>
  </si>
  <si>
    <t>N° Action</t>
  </si>
  <si>
    <t>Rôle de la CC</t>
  </si>
  <si>
    <t>Partenaires</t>
  </si>
  <si>
    <t>Nature et Biodiversité</t>
  </si>
  <si>
    <t>Conso. (GWh)</t>
  </si>
  <si>
    <t>GES (ktCO2e)</t>
  </si>
  <si>
    <t>2019.1036-E11 Tableau_suivi_PCAET</t>
  </si>
  <si>
    <t>OCCUPER DES LOGEMENTS ET BATIMENTS TERTIAIRES PLUS PERFORMANTS</t>
  </si>
  <si>
    <t>PRÉSERVER LES MILIEUX NATURELS ET PRODUIRE DURABLEMENT</t>
  </si>
  <si>
    <t>SE DÉVELOPPER EN SOUTENANT L'ÉCONOMIE BAS-CARBONE</t>
  </si>
  <si>
    <t>Valoriser et préserver les ressources du territoire</t>
  </si>
  <si>
    <t>Accompagner l’évolution de l’activité agricole en pérennisant et étendant des pratiques moins émissives et moins polluantes</t>
  </si>
  <si>
    <t>Construire un territoire sain et résilient aux effets du changement climatique en améliorant la séquestration carbone</t>
  </si>
  <si>
    <t>Accompagner les ménages vers un usage plus sobre de leur logement, pour un impact positif sur l’air, la santé et l'environnement</t>
  </si>
  <si>
    <t>S’appuyer sur les friches existantes pour répondre aux enjeux de densification</t>
  </si>
  <si>
    <t>Développer les EnR au sein des logements privés et bâtiments tertiaires</t>
  </si>
  <si>
    <t>Promouvoir une construction de logements exemplaires permettant de réduire les émissions de polluants et améliorer la qualité de l’air</t>
  </si>
  <si>
    <t xml:space="preserve">Augmenter la performance énergétique et environnementale du patrimoine public et réduire les consommations </t>
  </si>
  <si>
    <t>Interroger les besoins et les modes de déplacements des agents et des élus</t>
  </si>
  <si>
    <t>Encourager le déploiement de nouvelles mobilités décarbonées, douces et actives</t>
  </si>
  <si>
    <t>Améliorer la gouvernance des transports</t>
  </si>
  <si>
    <t>Réduire le besoin en déplacement</t>
  </si>
  <si>
    <t>Réduire l’impact de la voiture et améliorer la qualité de l’air</t>
  </si>
  <si>
    <t>Engager la collectivité dans une consommation responsable et durable</t>
  </si>
  <si>
    <t>AGIR EN COLLECTIVITÉ ÉCO-EXEMPLAIRE ET ANIMER LE PCAET</t>
  </si>
  <si>
    <t>Structurer la filière de professionnels sur le territoire pour la rénovation</t>
  </si>
  <si>
    <t>Mettre en place une stratégie de mobilité inter-structures, afin de réduire les déplacements carbonés des agents et des élus</t>
  </si>
  <si>
    <t>Accompagner les communes dans la collecte et la valorisation des déchets et biodéchets</t>
  </si>
  <si>
    <t>Mener des campagnes pédagogiques pour un usage sain et sobre des logements</t>
  </si>
  <si>
    <t>1.1</t>
  </si>
  <si>
    <t>Repérer et accompagner les ménages en situation de précarité énergétique</t>
  </si>
  <si>
    <t>1.2</t>
  </si>
  <si>
    <t>1.3</t>
  </si>
  <si>
    <t>1.4</t>
  </si>
  <si>
    <t>1.5</t>
  </si>
  <si>
    <t>1.6</t>
  </si>
  <si>
    <t>1.7</t>
  </si>
  <si>
    <t>Encourager une nouvelle approche du travail, en mix présentiel / distanciel, grâce à la présence de la fibre sur tout le territoire</t>
  </si>
  <si>
    <t>Promouvoir les commerces de proximité et la relocalisation des emplois</t>
  </si>
  <si>
    <t>Développer un plan de déplacement de territoire cohérent, grâce à une meilleure coopération entre les acteurs du transport, les communes et la collectivité</t>
  </si>
  <si>
    <t>Développer les usages du vélo en fonction des opportunités du territoire</t>
  </si>
  <si>
    <t>2.1</t>
  </si>
  <si>
    <t>2.2</t>
  </si>
  <si>
    <t>2.3</t>
  </si>
  <si>
    <t>2.4</t>
  </si>
  <si>
    <t>2.5</t>
  </si>
  <si>
    <t>2.6</t>
  </si>
  <si>
    <t>2.7</t>
  </si>
  <si>
    <t>2.8</t>
  </si>
  <si>
    <t>3.1</t>
  </si>
  <si>
    <t>3.2</t>
  </si>
  <si>
    <t>3.4</t>
  </si>
  <si>
    <t>3.5</t>
  </si>
  <si>
    <t>Soutenir le développement des commerces et services locaux et durables</t>
  </si>
  <si>
    <t>4.1</t>
  </si>
  <si>
    <t>4.2</t>
  </si>
  <si>
    <t>4.3</t>
  </si>
  <si>
    <t>Réduire la production de déchets sur le territoire</t>
  </si>
  <si>
    <t>4.4</t>
  </si>
  <si>
    <t>4.5</t>
  </si>
  <si>
    <t>Développer le marché de l'économie circulaire et solidaire sur le territoire</t>
  </si>
  <si>
    <t>Rénover et construire de manière exemplaire les bâtiments de la collectivité, sur les aspects de performance énergétique et de déploiement des EnR</t>
  </si>
  <si>
    <t>5.1</t>
  </si>
  <si>
    <t>5.2</t>
  </si>
  <si>
    <t>5.3</t>
  </si>
  <si>
    <t>Coordonner et animer la transition climatique et énergétique sur le territoire</t>
  </si>
  <si>
    <t>5.6</t>
  </si>
  <si>
    <t>Poursuivre et promouvoir une politique publique d’achats responsables</t>
  </si>
  <si>
    <t>5.4</t>
  </si>
  <si>
    <t>5.5</t>
  </si>
  <si>
    <t>AXE 3 : PRÉSERVER LES MILIEUX NATURELS ET PRODUIRE DURABLEMENT</t>
  </si>
  <si>
    <t>AXE 2 : SE DÉPLACER ET TRANSPORTER EN RÉDUISANT L'IMPACT SUR LE CLIMAT ET LA QUALITÉ DE L'AIR</t>
  </si>
  <si>
    <t>AXE 1 : OCCUPER DES LOGEMENTS ET BATIMENTS TERTIAIRES PLUS PERFORMANTS</t>
  </si>
  <si>
    <t>AXE 4 : SE DÉVELOPPER EN SOUTENANT L'ÉCONOMIE BAS-CARBONE</t>
  </si>
  <si>
    <t>Accompagner les entreprises et les industries dans leur transition énergétique</t>
  </si>
  <si>
    <t>AXE 7 : AGIR EN COLLECTIVITÉ ÉCO-EXEMPLAIRE ET ANIMER LE PCAET</t>
  </si>
  <si>
    <t>Axe 1 : Logement et bâti</t>
  </si>
  <si>
    <t>Axe 2 : Déplacement</t>
  </si>
  <si>
    <t>Axe 3 : Milieu naturel et production</t>
  </si>
  <si>
    <t>Axe 4 : Économie bas-carbone</t>
  </si>
  <si>
    <t>Axe 5 : Exemplarité</t>
  </si>
  <si>
    <t>Faciliter l'intermodalité sur le territoire</t>
  </si>
  <si>
    <t>Encourager la réduction de la part modale des véhicules thermiques (voitures individuelles et véhicules de transport de marchandises) dans les déplacements du territoire</t>
  </si>
  <si>
    <t>Accompagner les propriétaires privés à la rénovation thermique sur le parc de logements privés individuels et collectifs pour améliorer la qualité de l’air</t>
  </si>
  <si>
    <t>Accompagner le déploiement d’un mix de véhicules moins carbonés (GNV, électrique, hydrogène, …)</t>
  </si>
  <si>
    <t>Diminuer l'exposition des population à la pollution atmosphérique</t>
  </si>
  <si>
    <t>Accompagner et former les agriculteurs dans leur conversion agricole, vers des pratiques alternatives</t>
  </si>
  <si>
    <t>Préserver la qualité de l'air extérieur sur le territoire</t>
  </si>
  <si>
    <t>Faciliter la collecte des déchets et la dépose en déchetterie</t>
  </si>
  <si>
    <t>Faciliter la rénovation énergétique des logements (en lien avec la prise de compétence de la CCLVD sur l'habitat)</t>
  </si>
  <si>
    <t>Réaliser un diagnostic des friches présentes sur le territoire (en s'appuyant sur le SCOT)</t>
  </si>
  <si>
    <t>Étudier les potentiels de production d'énergies renouvelables résidentielles sur le territoire</t>
  </si>
  <si>
    <t>Développer l'offre de transports en commun sur le trritoire et encourer son utilisation auprès des habitants</t>
  </si>
  <si>
    <t>3.3</t>
  </si>
  <si>
    <t>Économiser la ressource en eau</t>
  </si>
  <si>
    <t>Mener une politique d'adaptation au changement climatique</t>
  </si>
  <si>
    <t>Étudier les potentiels de valorisation des ressources du territoire pour le déploiement des EnR&amp;R</t>
  </si>
  <si>
    <t>Accompagner les entreprises industrielles et tertiaires dans leur transition écologique</t>
  </si>
  <si>
    <t>Réduire la production de déchets sur le territoire et développer l'économie circulaire et le réemploi</t>
  </si>
  <si>
    <r>
      <t>Accompagner les ent</t>
    </r>
    <r>
      <rPr>
        <sz val="16"/>
        <rFont val="Swis721 Cn BT"/>
      </rPr>
      <t>reprises et les industries</t>
    </r>
    <r>
      <rPr>
        <sz val="16"/>
        <rFont val="Swis721 Cn BT"/>
        <family val="2"/>
      </rPr>
      <t xml:space="preserve"> dans leur transition environnementale et énergétique</t>
    </r>
  </si>
  <si>
    <t>Créer une cellule de gestion optimisée et mutualisée de la transition écologique de la CCLVD</t>
  </si>
  <si>
    <t>1.1 Mener des campagnes pédagogiques pour un usage sain et sobre des logements</t>
  </si>
  <si>
    <t>Mettre en place un guichet unique pour améliorer la visibilité des aides disponibles et faciliter la compréhension des démarches à effectuer</t>
  </si>
  <si>
    <t>1.2 Mettre en place un guichet unique pour améliorer la visibilité des aides disponibles et faciliter la compréhension des démarches à effectuer</t>
  </si>
  <si>
    <t>1.3 Faciliter la rénovation énergétique des logements (en lien avec la prise de compétence de la CCLVD sur l'habitat)</t>
  </si>
  <si>
    <t>1.4 Repérer et accompagner les ménages en situation de précarité énergétique</t>
  </si>
  <si>
    <t>1.6 Réaliser un diagnostic des friches présentes sur le territoire (en s'appuyant sur le SCOT)</t>
  </si>
  <si>
    <t>1.5 Structurer la filière de professionnels sur le territoire pour la rénovation</t>
  </si>
  <si>
    <t>1.7 Étudier les potentiels de production d'énergies renouvelables résidentielles sur le territoire</t>
  </si>
  <si>
    <t>2.1 Encourager une nouvelle approche du travail, en mix présentiel / distanciel, grâce à la présence de la fibre sur tout le territoire</t>
  </si>
  <si>
    <t>2.2 Promouvoir les commerces de proximité et la relocalisation des emplois</t>
  </si>
  <si>
    <t>2.3 Développer un plan de déplacement de territoire cohérent, grâce à une meilleure coopération entre les acteurs du transport, les communes et la collectivité</t>
  </si>
  <si>
    <t>2.4 Faciliter l'intermodalité sur le territoire</t>
  </si>
  <si>
    <t>2.6 Développer les usages du vélo en fonction des opportunités du territoire</t>
  </si>
  <si>
    <t>2.7 Encourager la réduction de la part modale des véhicules thermiques (voitures individuelles et véhicules de transport de marchandises) dans les déplacements du territoire</t>
  </si>
  <si>
    <t>2.8 Accompagner le déploiement d’un mix de véhicules moins carbonés (GNV, électrique, hydrogène, …)</t>
  </si>
  <si>
    <t>3.1 Accompagner et former les agriculteurs dans leur conversion agricole, vers des pratiques alternatives</t>
  </si>
  <si>
    <t>3.2 Économiser la ressource en eau</t>
  </si>
  <si>
    <t>3.3 Mener une politique d'adaptation au changement climatique</t>
  </si>
  <si>
    <t>3.4 Étudier les potentiels de valorisation des ressources du territoire pour le déploiement des EnR&amp;R</t>
  </si>
  <si>
    <t>3.5 Diminuer l'exposition des population à la pollution atmosphérique</t>
  </si>
  <si>
    <t>4.1 Soutenir le développement des commerces et services locaux et durables</t>
  </si>
  <si>
    <t>4.2 Accompagner les entreprises industrielles et tertiaires dans leur transition écologique</t>
  </si>
  <si>
    <t>4.3 Réduire la production de déchets sur le territoire</t>
  </si>
  <si>
    <t>4.4 Faciliter la collecte des déchets et la dépose en déchetterie</t>
  </si>
  <si>
    <t>4.5 Développer le marché de l'économie circulaire et solidaire sur le territoire</t>
  </si>
  <si>
    <t>5.1 Coordonner et animer la transition climatique et énergétique sur le territoire</t>
  </si>
  <si>
    <t>5.2 Créer une cellule de gestion optimisée et mutualisée de la transition écologique de la CCLVD</t>
  </si>
  <si>
    <t>5.3 Rénover et construire de manière exemplaire les bâtiments de la collectivité, sur les aspects de performance énergétique et de déploiement des EnR</t>
  </si>
  <si>
    <t>5.4 Mettre en place une stratégie de mobilité inter-structures, afin de réduire les déplacements carbonés des agents et des élus</t>
  </si>
  <si>
    <t>5.5 Accompagner les communes dans la collecte et la valorisation des déchets et biodéchets</t>
  </si>
  <si>
    <t>5.6 Poursuivre et promouvoir une politique publique d’achats responsables</t>
  </si>
  <si>
    <t>oui/non</t>
  </si>
  <si>
    <t>Référents communaux formés</t>
  </si>
  <si>
    <t>Campagne de sensibilisation mise en place</t>
  </si>
  <si>
    <t>Nombre de kits écogestes distribués</t>
  </si>
  <si>
    <t>Nombre de balades thermiques organisées</t>
  </si>
  <si>
    <t>Nombre de compteurs individuels installés</t>
  </si>
  <si>
    <t>Diminution des consommations en eau</t>
  </si>
  <si>
    <t>Diminution des consommations en électricité</t>
  </si>
  <si>
    <t>Guichet unique mis en place</t>
  </si>
  <si>
    <t>Référent formé dans chaque commune</t>
  </si>
  <si>
    <t>Guide des aides réalisé</t>
  </si>
  <si>
    <t>Liste des artisans RGE réalisé</t>
  </si>
  <si>
    <t>Campagne de communication sur la rénovation thermique réalisée</t>
  </si>
  <si>
    <t>Augmentation du nombre de diagnostics thermiques réalisés sur le territoire</t>
  </si>
  <si>
    <t>Cartographie du parc potentiellement précaire réalisée</t>
  </si>
  <si>
    <t>Cellule intercommunale mise en place</t>
  </si>
  <si>
    <t>Agents référents formés</t>
  </si>
  <si>
    <t>Nombre de ménages en situation de précarité sensibilisés et accompagnés</t>
  </si>
  <si>
    <t>Guide pratique réalisé et diffusé</t>
  </si>
  <si>
    <t>Annuaire des artisans créé</t>
  </si>
  <si>
    <t>Nombre de label RGE obtenus</t>
  </si>
  <si>
    <t>Nombre de professionnels formés</t>
  </si>
  <si>
    <t>Atlas des friches distribué</t>
  </si>
  <si>
    <t>Plaquette sur la dépollution des friches réalisée et distribuée</t>
  </si>
  <si>
    <t>Benchmark des réhabilitations de friches durables réalisé et diffusé</t>
  </si>
  <si>
    <t>Nombre de friches requalifiées</t>
  </si>
  <si>
    <t>Support de sensibilisation diffusé</t>
  </si>
  <si>
    <t>Etude d'opportunité EnR&amp;R résidentielles réalisée</t>
  </si>
  <si>
    <t>Expérimentation en autoconsommation</t>
  </si>
  <si>
    <t>Augmentation de la production d'EnR&amp;R sur le territoire</t>
  </si>
  <si>
    <t>Club d'entreprises créé</t>
  </si>
  <si>
    <t>Nombre d'entreprises adhérentes</t>
  </si>
  <si>
    <t>Nombre de jours de télétravail moyen par actif sur le territoire</t>
  </si>
  <si>
    <t>Nombre de locaux disponibles identifiés sur les communes</t>
  </si>
  <si>
    <t>Nombre d'espaces de coworking mis en place</t>
  </si>
  <si>
    <t>Réseau de commerçants créé</t>
  </si>
  <si>
    <t>Nombre de commerçants adhérents</t>
  </si>
  <si>
    <t>Aide à l'installation en centre-ville mise en place</t>
  </si>
  <si>
    <t>Document cadre des acteurs et périmètres de gestion élaboré et diffusé</t>
  </si>
  <si>
    <t>Plan de déplacement réalisé</t>
  </si>
  <si>
    <t>Augmentation des visites sur la plateforme OiseMobilité</t>
  </si>
  <si>
    <t>Campagne de communication sur l'intermodalité mise en place</t>
  </si>
  <si>
    <t>Nombre d'évènements sur l'écomobilité organisés</t>
  </si>
  <si>
    <t>Nombre d'habitants sensibilisés</t>
  </si>
  <si>
    <t>Nombre d'aires de mobilité rurales mises en place</t>
  </si>
  <si>
    <t>Campagne de communication sur l'offre de transports déployée</t>
  </si>
  <si>
    <t>Evolution du réseau de transports en commun</t>
  </si>
  <si>
    <t>Billetterie unique mise en place</t>
  </si>
  <si>
    <t>Quartiers de gares requalifiés</t>
  </si>
  <si>
    <t>Evolution de la part modale des transports en commun sur le territoire</t>
  </si>
  <si>
    <t>Nombre d'habitants formés à la pratique du vélo</t>
  </si>
  <si>
    <t>Location longue durée mise en place</t>
  </si>
  <si>
    <t>Subvention mise en place</t>
  </si>
  <si>
    <t>Nombre de km de piste cyclable aménagé</t>
  </si>
  <si>
    <t>Augmentation de la part modale des modes actifs sur le territoire</t>
  </si>
  <si>
    <t>Nombre de parkings relais créés</t>
  </si>
  <si>
    <t>Diminution de la place des voitures en centre-ville</t>
  </si>
  <si>
    <t>Nombre de plans de mobilité écoles mis en place</t>
  </si>
  <si>
    <t>Nombre d'acteurs de la logisitique sensibilisés aux enjeux environnementaux</t>
  </si>
  <si>
    <t>Benchmark des solutions de logistique urbaine innovante élaboré</t>
  </si>
  <si>
    <t>Evolution de la part modale des véhicules thermiques</t>
  </si>
  <si>
    <t>Campagne de sensibilisation sur les biocarburants menée</t>
  </si>
  <si>
    <t>Nombre de bornes électriques installées</t>
  </si>
  <si>
    <t>Nombre de ménages profitant de la subvention de la CCLVD</t>
  </si>
  <si>
    <t>Augmentation de la part des véhicules roulants aux biocarburants dans le mix du territoire</t>
  </si>
  <si>
    <t>Club d'agriculteurs créé</t>
  </si>
  <si>
    <t>Nombre d'agriculteurs adhérents</t>
  </si>
  <si>
    <t>Coopérative de producteurs créée</t>
  </si>
  <si>
    <t>Nombre de contrats de sécurisation mis en place</t>
  </si>
  <si>
    <t>Nombre d'agriculteurs engagés dans le développement de pratiques durables</t>
  </si>
  <si>
    <t>Nombre d'arbres plantés</t>
  </si>
  <si>
    <t>Nombre d'agriculteurs formés aux enjeux de la séquestration carbone</t>
  </si>
  <si>
    <t>Etude ilots de chaleur réalisée</t>
  </si>
  <si>
    <t>Surface de zones humides supplémentaires protégées dans les documents d'urbanisme</t>
  </si>
  <si>
    <t>Périmètres de protection de captage mis en place</t>
  </si>
  <si>
    <t>Nombre d'agents et d'élus sensibilisés sur la gestion intégrée des eaux pluviales</t>
  </si>
  <si>
    <t>Nombre de récupérateurs d'eau de plue financés</t>
  </si>
  <si>
    <t>Réduction de la quantité d'eau de pluie dans les réseaux d'assainissement</t>
  </si>
  <si>
    <t>Surface d'espaces agricoles et naturels supplémentaires protégées dans le SCoT</t>
  </si>
  <si>
    <t>Nombre de projets de renaturation de friches urbaines lancés sur le territoire</t>
  </si>
  <si>
    <t>Etudes de potentiel EnR&amp;R réalisées</t>
  </si>
  <si>
    <t>Comité technique sur la méthanisation mis en place</t>
  </si>
  <si>
    <t>Adaptation des réseaux au changement climatique</t>
  </si>
  <si>
    <t>Campage de sensibilisation sur le brûlage de déchets menée</t>
  </si>
  <si>
    <t>Zones sensibles identifiées dans le SCoT</t>
  </si>
  <si>
    <t>Inventaire des espèces bio-accumulatrices réalisé</t>
  </si>
  <si>
    <t>Liste des espèces allergènes inscrite au SCoT</t>
  </si>
  <si>
    <t>Diminution de la plantation d'essences fortement allergènes sur le territoire</t>
  </si>
  <si>
    <t>Réseau des acteurs de la consommation locale identifié et cartographié</t>
  </si>
  <si>
    <t>Communication sur les savoir-faire locaux réalisée</t>
  </si>
  <si>
    <t>Nombre d'animations organisées sur la consommation locale</t>
  </si>
  <si>
    <t>Nombre d'habitants sensiblisés</t>
  </si>
  <si>
    <t>Etude maison de producteurs réalisée</t>
  </si>
  <si>
    <t>Nombre de rencontres inter-entreprises organisées</t>
  </si>
  <si>
    <t>Nombre de pré-diagnostics environnementaux ou énergie réalisés dans les entreprises</t>
  </si>
  <si>
    <t>Pôles d'attractivité créés</t>
  </si>
  <si>
    <t>Nombre d'habitants sensibilisés sur la réduction des déchets</t>
  </si>
  <si>
    <t>Nombre de chantiers circulaires lancés</t>
  </si>
  <si>
    <t xml:space="preserve">Benchmark sur la tarification incitative réalisé </t>
  </si>
  <si>
    <t>Concertation habitante engagée sur la tarification incitative</t>
  </si>
  <si>
    <t>Modalités de tarification incitative définies</t>
  </si>
  <si>
    <t>Réduction de la quantité de déchets récoltés sur le territoire</t>
  </si>
  <si>
    <t>Projet de recyclerie mobile finalisé</t>
  </si>
  <si>
    <t>Nombre de "Clean Walk" organisées</t>
  </si>
  <si>
    <t>Créneaux dédiés aux professionnels mis en place dans les déchetteries</t>
  </si>
  <si>
    <t>Réduction des dépôts sauvage constatée</t>
  </si>
  <si>
    <t>Cartographie des acteurs du réemploi réalisée</t>
  </si>
  <si>
    <t>Nombre de nouveaux espaces de réparation et réemploi installés sur le territoire</t>
  </si>
  <si>
    <t>Nombre de nouvelles initiatives d'économie circulaire lancées sur le territoire</t>
  </si>
  <si>
    <t>Campagne de sensibilisation réalisée</t>
  </si>
  <si>
    <t>Nombre de foires du réemploi mises en place</t>
  </si>
  <si>
    <t>Plateforme d'économie circulaire développée</t>
  </si>
  <si>
    <t>Groupe de travail PCAET mis en place et structuré</t>
  </si>
  <si>
    <t>Communication régulière sur le PCAET assurée</t>
  </si>
  <si>
    <t>Evaluation à 2025 réalisée</t>
  </si>
  <si>
    <t>Evaluation à 2028 réalisée</t>
  </si>
  <si>
    <t>Cellule de gestion optimisée mise en place</t>
  </si>
  <si>
    <t>Nombre d'élus et d'agents sensibilisés</t>
  </si>
  <si>
    <t>Livret d'accueil sur les économies d'énergie réalisé et distribué</t>
  </si>
  <si>
    <t>Nombre de visites de site menées avec les agents et les élus</t>
  </si>
  <si>
    <t>Evaluation de l'audit énergétique réalisée</t>
  </si>
  <si>
    <t>Plan pluriannuel d'investissement et d'intervention mis en place</t>
  </si>
  <si>
    <t>Document cadre rédigé</t>
  </si>
  <si>
    <t>Clauses environnementales ajoutées dans les marchés publics</t>
  </si>
  <si>
    <t>Plan d'action sur la compétence eau élaboré</t>
  </si>
  <si>
    <t>Plan de déplacement inter-administration réalisé</t>
  </si>
  <si>
    <t>Nombre d'agents formés à l'écoconduite</t>
  </si>
  <si>
    <t>Evolution du nombre de jours de télétravail moyen effectué par agent</t>
  </si>
  <si>
    <t>Audit énergétique des véhicules réalisé</t>
  </si>
  <si>
    <t>Nombre de véhicules remplacés par des solutions moins carbonées</t>
  </si>
  <si>
    <t>Evolution de la consommation de rames de papier de la CCLVD</t>
  </si>
  <si>
    <t>Nombres d'interventions de CITEO organisées</t>
  </si>
  <si>
    <t>Nombre d'agents formés</t>
  </si>
  <si>
    <t>Nombres de composteurs mis en place</t>
  </si>
  <si>
    <t>Réduction des déchets de la CCLVD</t>
  </si>
  <si>
    <t>Nombre de sessions de formation organisées lors de commissions</t>
  </si>
  <si>
    <t>Charte d'achats responsables rédigée</t>
  </si>
  <si>
    <t>Nombre de marchés publics intégrant des clauses environnementales</t>
  </si>
  <si>
    <t>Evolution de la part du bio et du local dans les cantines scolaires</t>
  </si>
  <si>
    <t>nbr.</t>
  </si>
  <si>
    <t>L/an</t>
  </si>
  <si>
    <t>GWh/an</t>
  </si>
  <si>
    <t>KW d'EnR&amp;R injectées sur les réseaux</t>
  </si>
  <si>
    <t>Budget à allouer pour une aide supplémentaire déterminé</t>
  </si>
  <si>
    <t>km</t>
  </si>
  <si>
    <t>%</t>
  </si>
  <si>
    <t>Etude de potentiels biocarburants réalisée</t>
  </si>
  <si>
    <t>m²</t>
  </si>
  <si>
    <t>Nombre d'habitants sensibilisés au lien entre qualité de l'air et santé</t>
  </si>
  <si>
    <t>Nombre de bennes destinées au réemploi installées dans les déchetteries</t>
  </si>
  <si>
    <t>Suivi
(*Évaluation de mi-parcours et bilan de PCAET)</t>
  </si>
  <si>
    <t>Diminution de la surchauffe urbaine (sur-chauffage, recours à de la climatisation, etc.)</t>
  </si>
  <si>
    <t>Réduction des déperditions énergétiques dans les logements rénovés</t>
  </si>
  <si>
    <t>Réduction des émissions de GES des logements rénovés</t>
  </si>
  <si>
    <t>Réduction du risques de pathologies respiratoires, de maladies cardiovasculaires, de pathologies du développement et intégrité physique, amélioration des capacité cognitive et réduction du stress</t>
  </si>
  <si>
    <r>
      <t xml:space="preserve">Réduction du risques de pathologies respiratoires, de maladies cardiovasculaires, de pathologies du développement et intégrité physique, amélioration des capacité cognitive et réduction du stress
</t>
    </r>
    <r>
      <rPr>
        <sz val="7"/>
        <color rgb="FFC00000"/>
        <rFont val="Swis721 Cn BT"/>
        <family val="2"/>
      </rPr>
      <t>La recherche de la performance énergétique par la rénovation ou l’utilisation de modes de chauffages plus vertueux peut entrainer une baisse de la qualité de l’air intérieur (utilisation de solvants, chauffage au bois, etc.).</t>
    </r>
  </si>
  <si>
    <t>Réduction des COVNM, NOX et des particules fines</t>
  </si>
  <si>
    <t>Adaptation de l'économie du territoire aux enjeux du réchauffement climatique</t>
  </si>
  <si>
    <t>Amélioration de la séquestration carbone</t>
  </si>
  <si>
    <r>
      <t xml:space="preserve">Réduction du risque de pathologies respiratoires et cardiovasculaire, renforcement de la cohésion sociale et amélioration de la santé mentale et des capacités cognitives
</t>
    </r>
    <r>
      <rPr>
        <sz val="9"/>
        <color rgb="FFC00000"/>
        <rFont val="Swis721 Cn BT"/>
        <family val="2"/>
      </rPr>
      <t>La végétalisation des espaces urbains peuvent augmenter le risque d'allergies cibler des espèces non allergènes</t>
    </r>
  </si>
  <si>
    <t>Réduction des émissions liées à l'utilisation d'énergies moins carbonnées</t>
  </si>
  <si>
    <r>
      <t xml:space="preserve">Réduction des maladies respoiratoires en lien avec l'utilisation d'énergie fossiles, amélioration du bien-être
</t>
    </r>
    <r>
      <rPr>
        <sz val="10"/>
        <color rgb="FFC00000"/>
        <rFont val="Swis721 Cn BT"/>
        <family val="2"/>
      </rPr>
      <t>Une attention à porter aux nuisances olfactives, visuelles ou sonores</t>
    </r>
  </si>
  <si>
    <t>Réduction des consommations énergétiques liées à la mobilité</t>
  </si>
  <si>
    <t>Réduction des émissions de GES liées à la mobilité</t>
  </si>
  <si>
    <t>Réduction des pollutions atmosphériques en lien avec la diminution du trafic routier (NOX, COV et PM)</t>
  </si>
  <si>
    <t>2.5 Développer l'offre de transports en commun sur le territoire et encourer son utilisation auprès des habitants</t>
  </si>
  <si>
    <t xml:space="preserve">Réduction des nuisances sonores et pollutions </t>
  </si>
  <si>
    <t>Déplacements des consommations d’énergies fossiles vers des énergies alternatives</t>
  </si>
  <si>
    <t>Réduction des émissions en lien avec le déploiement des mobilités décarbonées</t>
  </si>
  <si>
    <t>Réduction des émissions de GES liées au trafic routier</t>
  </si>
  <si>
    <t>Réduction des consommations d’énergies fossiles</t>
  </si>
  <si>
    <t>Réduction des pollutions atmosphériques en lien avec la diminution du trafic routier</t>
  </si>
  <si>
    <t>Réduction des maladies cardiovasculaires, du risque de troubles respiratoires, régulation thermique, réduction du stress et meilleure intégration sociale</t>
  </si>
  <si>
    <r>
      <t xml:space="preserve">Réduction des maladies cardiovasculaires, du risque de troubles respiratoires
Amélioration de la santé mentale
</t>
    </r>
    <r>
      <rPr>
        <sz val="8"/>
        <color rgb="FFC00000"/>
        <rFont val="Swis721 Cn BT"/>
        <family val="2"/>
      </rPr>
      <t>La désimperméabilisation peut augmenter le risque de remontées de nappes et la découverture de sols pollués : à anticiper</t>
    </r>
  </si>
  <si>
    <t>Diminution des effets d'ilots de chaleur urbains, diminution du risque d'inondation</t>
  </si>
  <si>
    <t>Réduction du risque d'inondation, amélioration de la qualité des eaux, amélioration du bien-être, du cadre de vie et de la santé mentale</t>
  </si>
  <si>
    <t>Désimperméabilisation des sols, continuités écologiques</t>
  </si>
  <si>
    <t>Développement des continuités écologiques, amélioration de la séquestration carbone</t>
  </si>
  <si>
    <t>Réduction des émissions de GES liées au traitement des eaux</t>
  </si>
  <si>
    <t xml:space="preserve">Diminution des effets d'ilots de chaleur urbains </t>
  </si>
  <si>
    <t>Anticipation des effets du changement climatique sur les activités agricoles du territoire</t>
  </si>
  <si>
    <t>Réduction des NOX, COVNM et des PM10 et PM2,5</t>
  </si>
  <si>
    <t>Baisses des émissions de polluants en lien avec l'utilisation d'une énergie verte</t>
  </si>
  <si>
    <t>Réduction des émissions de GES liées au brûlage de déchets verts</t>
  </si>
  <si>
    <t>Réduction des maladies respiratoires, des risques d'allergie</t>
  </si>
  <si>
    <r>
      <t xml:space="preserve">Réduction des maladies respiratoires en lien avec l'utilisation d'énergie fossiles, amélioration du bien-être
</t>
    </r>
    <r>
      <rPr>
        <sz val="9"/>
        <color rgb="FFC00000"/>
        <rFont val="Swis721 Cn BT"/>
        <family val="2"/>
      </rPr>
      <t>Une attention à porter aux nuisances olfactives, visuelles ou sonores</t>
    </r>
  </si>
  <si>
    <t>Réduction des consommations de carburant en lien avec la réduction des distances d'approvisionnement</t>
  </si>
  <si>
    <t>Réduction des émissions de GES en lien avec la réduction des distances d'approvisionnement</t>
  </si>
  <si>
    <t>Réduction du risques de pathologies respiratoires, de maladies cardiovasculaires,réduction du stress, amélioration du bien-être au travail</t>
  </si>
  <si>
    <t>Réduction des maladies cardiovasculaires, prévention contre le diabète et réduction des pathologies chroniques par une alimentation plus saine</t>
  </si>
  <si>
    <t>Réduction des consommations énergétiques liées au traitement des déchets</t>
  </si>
  <si>
    <t>Réduction des émissions de GES liées au traitement des déchets</t>
  </si>
  <si>
    <t>Réduction des consommations liées à la réutilisation de biens vs production de nouveaux biens</t>
  </si>
  <si>
    <t>Réduction des émissions en lien avec l'augmentation du cycle de vie des biens</t>
  </si>
  <si>
    <t>Adaptation des politiques publiques de la CCLVD au changement climatique</t>
  </si>
  <si>
    <t>Réduction des consommations énergétiques de la CCLVD</t>
  </si>
  <si>
    <t>Réduction des émissions de GES de la CCLVD</t>
  </si>
  <si>
    <t>Réduction des émissions de polluants par la CCLVD</t>
  </si>
  <si>
    <t>Réduction des déperditions énergétiques dans les bâtiments intercommunaux</t>
  </si>
  <si>
    <t>Réduction des émissions de GES dans les bâtiments intercommunaux</t>
  </si>
  <si>
    <t>Réduction des nuisances sonores et pollutions, réduction du risque et amélioration de la condition physique des agents et des élus, amélioration de la santé mentale si les voiries sont sécurisées et « vertes »</t>
  </si>
  <si>
    <t>Réduction des émissions de GES en lien avec le déploiment de mobilités décarbonnées</t>
  </si>
  <si>
    <t>Réduction des consommations énergétiques en lien avec la sobriété matérielle</t>
  </si>
  <si>
    <r>
      <t xml:space="preserve">Réduction des maladies respiratoires en lien avec l'utilisation d'énergie fossiles pour traiter les déchets
</t>
    </r>
    <r>
      <rPr>
        <sz val="10"/>
        <color rgb="FFC00000"/>
        <rFont val="Swis721 Cn BT"/>
        <family val="2"/>
      </rPr>
      <t>Une attention à porter aux nuisances olfactives</t>
    </r>
  </si>
  <si>
    <t>Nombre de logements rénovés</t>
  </si>
  <si>
    <t>Hypothèses de calcul</t>
  </si>
  <si>
    <t>Explication de la méthode de calcul</t>
  </si>
  <si>
    <t>Réduction des consommations énergétiques (GWh)</t>
  </si>
  <si>
    <t>Réduction des émissions de GES (teq. CO2)</t>
  </si>
  <si>
    <t>Unité de l'indicateur</t>
  </si>
  <si>
    <t>Objectifs du scénario territorialisé en 2050</t>
  </si>
  <si>
    <t>1 agriculteur durable</t>
  </si>
  <si>
    <t>Nombre d'entreprises engagées dans une rénovation thermique</t>
  </si>
  <si>
    <t>1 bâtiment rénové</t>
  </si>
  <si>
    <t>Nombre de bâtiments intercommunaux rénovés</t>
  </si>
  <si>
    <t>=[proportion bât publics*(conso2015-conso2050)]/0,75*nb bâtiments publics</t>
  </si>
  <si>
    <t>1 entreprise rénovée</t>
  </si>
  <si>
    <t>1 industrie sensibilisée</t>
  </si>
  <si>
    <t>Nombre d'industries sensibilisées</t>
  </si>
  <si>
    <t>75% du parc rénové (donc 122)</t>
  </si>
  <si>
    <t>€</t>
  </si>
  <si>
    <t>Pilote, partenaire et facilitateur</t>
  </si>
  <si>
    <t>CCLVD, ADIL, ENEDIS</t>
  </si>
  <si>
    <t>Communes du territoire, APPA, ATMO, ADIL, ENEDIS, VEOLIA, ADEME</t>
  </si>
  <si>
    <t>Aides de l’ANAH, ARS, CPAM, Action Logement, financements de l’APPA, ADEME (AP Aact’air)</t>
  </si>
  <si>
    <t>Région Hauts-de-France (appel d’offre pour la mise en place de guichets uniques), aides de l’ANAH, Ma Prime Rénov, Pass Rénovation, CEE, SPEE</t>
  </si>
  <si>
    <t>Communes du territoire, CCLVD, ANAH, ADIL, SPEE Picardie, FFB, CAPEB, Espace Faire, etc.</t>
  </si>
  <si>
    <t xml:space="preserve">Pilote </t>
  </si>
  <si>
    <t xml:space="preserve">CCLVD </t>
  </si>
  <si>
    <t>Région Hauts-de-France, SPEE Hauts-de-France</t>
  </si>
  <si>
    <t>€€</t>
  </si>
  <si>
    <t>Communes du territoire, Pass Rénovation Hauts de France, SPEE Picardie, Picardie Verte</t>
  </si>
  <si>
    <t>Région Hauts-de-France, aides de l’ANAH, département (Prime Verte)</t>
  </si>
  <si>
    <t>Communes, ADIL, EFS, CCAS, Intervenants sociaux, bailleurs, CAF, association Eco-Habitat, Eco’Logis, , SESEO, agence d’urbanisme Oise les Vallées</t>
  </si>
  <si>
    <t>Pilote et facilitateur</t>
  </si>
  <si>
    <t>CCLVD et Mission Locale</t>
  </si>
  <si>
    <t>CCI, CODEM, CDEE, fédérations de professionnels, Cap Vert,  Région Hauts-de-France</t>
  </si>
  <si>
    <t>Partenaire et facilitateur</t>
  </si>
  <si>
    <t>CCI de l'Oise</t>
  </si>
  <si>
    <t xml:space="preserve">Fonds friches du Plan France Relance, Région Hauts-de-France, État (appel à projet recyclage des friches urbaines)  </t>
  </si>
  <si>
    <t>Communes du territoire, Agence d’urbanisme, ADEME, etc.</t>
  </si>
  <si>
    <t>Pilote</t>
  </si>
  <si>
    <t>CCLVD</t>
  </si>
  <si>
    <t>Région Hauts-de-France (FRATRI cadre 2), SEM Energie Hauts-de-France, Plan de Relance (« résilience des réseaux électriques en zone rurale »)</t>
  </si>
  <si>
    <t>Communes du territoire, SEM Energie Hauts-de-France, ENEDIS, GRDF, VEOLIA, CCI, ADEME, SEZEO, SE60</t>
  </si>
  <si>
    <t>Pilote et partenaire</t>
  </si>
  <si>
    <t>CCLVD et ENEDIS</t>
  </si>
  <si>
    <t>Plan de Relance, région, entreprises privées, Dotation d’Équipement des Territoires Ruraux (DETR), FNADT</t>
  </si>
  <si>
    <t>€€€</t>
  </si>
  <si>
    <t>Communes du territoire, entreprises, gestionnaires de zones d’activités, CCI, etc.</t>
  </si>
  <si>
    <t>CCLVD et CCI</t>
  </si>
  <si>
    <t>Région Hauts-de-France (aide à la réhabilitation des commerces, au dernier commerce de proximité, etc.), Plan de Relance (« Fonds de déficit d’opérations d’aménagement commercial en centre-ville »)</t>
  </si>
  <si>
    <t>Communes du territoire, commerçants et entreprises, écoles de formation, Cci, CMA, etc.</t>
  </si>
  <si>
    <t>CCLVD, Mission Locale et commerçants</t>
  </si>
  <si>
    <t>Région Hauts-de-France (FRATRI, cadre 5)</t>
  </si>
  <si>
    <t>Communes du territoire, département, région, AOM du sud de l’Oise, SMTCO, etc.</t>
  </si>
  <si>
    <t xml:space="preserve">Pilote  </t>
  </si>
  <si>
    <t>État (Fond Mobilité active), ADEME (Feuille de route qualité de l’air), région Hauts-de-France</t>
  </si>
  <si>
    <t>Communes du territoire, CCLVD, SMTCO, SNCF, associations vélo, loueurs de vélos, etc.</t>
  </si>
  <si>
    <t>CCLVD et SMTCO</t>
  </si>
  <si>
    <t>Région Hauts-de-France, SMTCO</t>
  </si>
  <si>
    <t>Communes du territoire, CCLVD, SMTCO, région Hauts-de-France, etc.</t>
  </si>
  <si>
    <t>ADEME (Feuille de route qualité de l’air, A vélo), État (Fond Mobilités actives, continuités cyclables), CEE Alvéole</t>
  </si>
  <si>
    <t>Associations vélo présentes sur le territoire ou la région, AU5V, loueurs de vélo, communes du territoire</t>
  </si>
  <si>
    <t>CCLVD, Communes et associations vélo</t>
  </si>
  <si>
    <t xml:space="preserve">Région Hauts-de-France, programme InterLUD, CEE Colisactiv’, SE60, SEZEO, </t>
  </si>
  <si>
    <t>Acteurs de la logistique, communes du territoire, CCI, AFT Hauts-de-France, associations de parents d’élèves</t>
  </si>
  <si>
    <t>CCLVD, Club d'entreprises et Associations de parents d'élèves</t>
  </si>
  <si>
    <t>Région, État (Plan National Hydrogène), DSIL, ADEME (Appel à projet Systèmes territoriaux hydrogène), bonus écologique Advenir</t>
  </si>
  <si>
    <t>Communes du territoire, région Hauts-de-France, Oise Mobilité, club d’entreprises, gestionnaire de déchets</t>
  </si>
  <si>
    <t xml:space="preserve">Région Hauts-de-France (Pass’Agri Filières, appel à projet Développement de la multifonctionnalité des exploitations agricoles jusqu’à septembre 2021) </t>
  </si>
  <si>
    <t>Communes du territoire, lycée agricole, agriculteurs, Chambre d’agriculture des Hauts-de-France, etc.</t>
  </si>
  <si>
    <t>Chambre d'agriculteur</t>
  </si>
  <si>
    <t>Facilitateur</t>
  </si>
  <si>
    <t>Région, département, Arvalis, PAC, projet Carbocage, Label Bas Carbone Grandes Cultures, Agence de l’Eau</t>
  </si>
  <si>
    <t>CPIE, CRPF, Picardie nature, CEN, Chambre d’Agriculture, agriculteurs du territoire, Arvalis, Syndicat d’Agriculture</t>
  </si>
  <si>
    <t>Ministère de l’Environnement, Région Hauts-de-France, État (appel à projet pour le recyclage des friches urbaines)</t>
  </si>
  <si>
    <t>Communes du territoire (compétence voirie), département, association ADOPTA, VEOLIA, etc.</t>
  </si>
  <si>
    <t>DREAL, Région Hauts-de-France (FRATRI cadre 2), SEM Energie Hauts-de-France, Plan de relance (résilience des réseaux électriques)</t>
  </si>
  <si>
    <t>Communes du territoire, SEM Energie Hauts-de-France, CCI, ENEDIS, GRDF, VEOLIA, SEZEO, SE60, etc.</t>
  </si>
  <si>
    <t>CCLVD, Chambre d'agriculture, ENEDIS et GRDF</t>
  </si>
  <si>
    <t>ADEME, Atmo Hauts-de-France, FEDER, Agence de l’eau</t>
  </si>
  <si>
    <t>Communes, gendarmeries, Atmo, APPA, DREAL, ARS, CPIE, CCI, Chambre d’agriculture, etc.</t>
  </si>
  <si>
    <t>ADEME, département Oise, Région Hauts-de-France</t>
  </si>
  <si>
    <t>Communes du territoire, Mission locale, Pôle emploi, CCI, Chambre des métiers et de l’artisanat, etc.</t>
  </si>
  <si>
    <t>ADEME, France Relance (Agir pour la transition écologique)</t>
  </si>
  <si>
    <t>Communes du territoire, ADEME, CCI de l’Oise, CMA, CAPEB, entreprises, Agence de l’Eau, etc.</t>
  </si>
  <si>
    <t>CCI</t>
  </si>
  <si>
    <t>Région Hauts-de-France (FRATRI cadre 6), ADEME (fonds économie circulaire)</t>
  </si>
  <si>
    <t>Communes du territoire, CITEO, SMDO, région, ADEME, CCI, CMA, etc.</t>
  </si>
  <si>
    <t>CCLVD et SMDO</t>
  </si>
  <si>
    <t>ADEME (étude faisabilité des déchetteries professionnelles), Éco-organismes</t>
  </si>
  <si>
    <t xml:space="preserve">CCLVD, Communes du territoire, CCI de l’Oise, CITEO </t>
  </si>
  <si>
    <t>SMDO</t>
  </si>
  <si>
    <t>CITEO (Circular Challenge), ADEME (fonds économie circulaire), région Hauts-de-France (FRATRI, cadre 6)</t>
  </si>
  <si>
    <t>Communes du territoire, déchetteries, CCI, Sud Oise Recyclerie, réseau Cartéco, etc.</t>
  </si>
  <si>
    <t>CCLVD et Sud Oise Recyclerie</t>
  </si>
  <si>
    <t>Communes du territoire, région, DDT60 État, etc.</t>
  </si>
  <si>
    <t>Communes du territoire</t>
  </si>
  <si>
    <t>Communes du territoire, région, SPEE Hauts-de-France, etc.</t>
  </si>
  <si>
    <t>ADEME, Région Hauts-de-France, Fonds Européens, SPEE Hauts-de-France, Plan de Relance (« Rénovation énergétique des bâtiments publics »)</t>
  </si>
  <si>
    <t>Financement de la région (FRATRI, cadre 5), CEE Moebuis (aide à l’achat de bus électriques), Banque des territoires</t>
  </si>
  <si>
    <t>Communes du territoire, SMDO, CITEO, écoles du territoire, etc.</t>
  </si>
  <si>
    <t>Bio en HdF, A PRO BIO, Plan de Relance (« Développer une alimentation saine durable et locale dans les cantines scolaires »)</t>
  </si>
  <si>
    <t>Communes du territoire, cantines scolaires, Bio en Hauts-de-France, A PRO BIO, Chambre d’agriculture des Hauts-de-France, etc.</t>
  </si>
  <si>
    <t>logements</t>
  </si>
  <si>
    <t>en orange, données du diagnostic et de la stratégie à saisir</t>
  </si>
  <si>
    <t>agriculteurs</t>
  </si>
  <si>
    <t>bâtiments administratifs</t>
  </si>
  <si>
    <t>de l'ensemble des bâtiments</t>
  </si>
  <si>
    <t>industries</t>
  </si>
  <si>
    <t>entreprises</t>
  </si>
  <si>
    <t>de l'ensemble des établissements</t>
  </si>
  <si>
    <t>Réduction des consommations énergétiques industrie</t>
  </si>
  <si>
    <t>Réduction des consommations énergétiques tertiaire</t>
  </si>
  <si>
    <t>Réduction des émissions de GES tertiaire</t>
  </si>
  <si>
    <t>Réduction des émissions de GES industrie</t>
  </si>
  <si>
    <t>ok validé</t>
  </si>
  <si>
    <r>
      <t xml:space="preserve">Réduction du risques de pathologies respiratoires, de maladies cardiovasculaires, de pathologies du développement et intégrité physique, amélioration des capacité cognitive et réduction du stress
</t>
    </r>
    <r>
      <rPr>
        <sz val="7"/>
        <color rgb="FFC00000"/>
        <rFont val="Swis721 Cn BT"/>
        <family val="2"/>
      </rPr>
      <t>La recherche de la performance énergétique par la rénovation ou l’utilisation de modes de chauffages plus vertueux peut entrainer une baisse de la qualité de l’air intérieure (utilisation de solvants, chauffage au bois, etc.)</t>
    </r>
    <r>
      <rPr>
        <sz val="7"/>
        <color theme="1"/>
        <rFont val="Swis721 Cn BT"/>
        <family val="2"/>
      </rPr>
      <t>.</t>
    </r>
  </si>
  <si>
    <t>Amélioration de la séquestration carbone et diminution des effets d'ilots de chaleur urbain</t>
  </si>
  <si>
    <t>Végétalisation de friches, installation de plantes résistantes favorisant la biodiversité</t>
  </si>
  <si>
    <t>Augmentation des productions EnR</t>
  </si>
  <si>
    <t>Augmentation de la production d'EnR&amp;R dans le mix énergétique du territoire</t>
  </si>
  <si>
    <t>GWh</t>
  </si>
  <si>
    <t>AXE TRANSVERSAL : QUALITÉ DE L'AIR</t>
  </si>
  <si>
    <t>Emissions de NOX</t>
  </si>
  <si>
    <t>Emissions de PM2,5</t>
  </si>
  <si>
    <t>Emissions de PM10</t>
  </si>
  <si>
    <t>Emissions de COV</t>
  </si>
  <si>
    <t>Emissions de SO2</t>
  </si>
  <si>
    <t>Emissions de NH3</t>
  </si>
  <si>
    <t>tonnes</t>
  </si>
  <si>
    <t>SO2 : mesures réelles</t>
  </si>
  <si>
    <t>COV : objectif réglementaire</t>
  </si>
  <si>
    <t>PM 2,5 : objectif  réglementaire</t>
  </si>
  <si>
    <t>PM 10 : objectif  réglementaire</t>
  </si>
  <si>
    <t>NOX : objectif  réglementaire</t>
  </si>
  <si>
    <t>COV : mesures réelles</t>
  </si>
  <si>
    <t>Emissions de polluants en tonnes</t>
  </si>
  <si>
    <t>SO2 : objectif  réglementaire</t>
  </si>
  <si>
    <t>NH3 : objectif  réglementaire</t>
  </si>
  <si>
    <t>Consommations : objectif stratégie</t>
  </si>
  <si>
    <t>Consommations : mesure réelle</t>
  </si>
  <si>
    <t>EnR&amp;R : objectif réglementaire</t>
  </si>
  <si>
    <t>EnR&amp;R : objectif stratégie</t>
  </si>
  <si>
    <t>EnR&amp;R : mesure réelle</t>
  </si>
  <si>
    <t>Objectifs du scénario territorialisé en 2030</t>
  </si>
  <si>
    <t>50% des logements rénovés (donc 4818)</t>
  </si>
  <si>
    <t>= (conso 2015-conso 2030)/(0,5*nb log)</t>
  </si>
  <si>
    <t>50% de passage en agroécologie (donc 256 agri)</t>
  </si>
  <si>
    <t>=(conso2015-conso2030)/0,5nb agri</t>
  </si>
  <si>
    <t>50%  (30) des industries améliorent leurs procédés et leurs consos</t>
  </si>
  <si>
    <t>=(conso ind2015-conso ind2030)/0,5*nb industries</t>
  </si>
  <si>
    <t>=(proportion entreprises*(conso2015-conso2030))/0,30*nb entreprises</t>
  </si>
  <si>
    <t>30% du parc rénové (donc 196 entreprises)</t>
  </si>
  <si>
    <t>Réduction de 5% des consommations énergétiques liées au chauffage, à l'éclairage, aux veilles des appareils électriques, etc.</t>
  </si>
  <si>
    <t>Augmentation de la production d'EnR de 76 GWh</t>
  </si>
  <si>
    <t>Réduction des émissions de GES des logements rénovés de 14 900 teqCO2</t>
  </si>
  <si>
    <t>Réduction des déperditions énergétiques dans les logements rénovés de 75 GWh</t>
  </si>
  <si>
    <t>Réduction des consommations énergétiques des bâtiments tertiaires rénovés de 24 GWh et des industries de 86 GWh</t>
  </si>
  <si>
    <t>Réduction des émissions de GES des bâtiments tertiaires rénovés de 6 860 teqCO2 et des industries de 8 700 teqCO2</t>
  </si>
  <si>
    <t>Réduction des consommations énergétiques liés aux activités agricoles de 2 GWh</t>
  </si>
  <si>
    <t>Réduction des émissions de GES liés aux activités agricoles de 1 970 teqCO2</t>
  </si>
  <si>
    <t>Réduction des consommations énergétiques liées à la mobilité de -45%</t>
  </si>
  <si>
    <t>Réduction des consommations énergétiques liées à la mobilité de 115 GWh</t>
  </si>
  <si>
    <t>Réduction des émissions de GES liées à la mobilité de 38 750 teqCO2</t>
  </si>
  <si>
    <t>Réduction des émissions de GES liées à la mobilité de 38 750 teqCO3</t>
  </si>
  <si>
    <t>Axe Suivi qualité de l'air</t>
  </si>
  <si>
    <t>SE DÉPLACER ET TRANSPORTER EN RÉDUISANT L'IMPACT SUR LE CLIMAT ET LA QUALITÉ DE L'AIR</t>
  </si>
  <si>
    <r>
      <t xml:space="preserve">Réduction des nuisances sonores et pollutions, réduction du risque et amélioration de la condition physique des habitants, amélioration de la santé mentale si les voiries sont sécurisées et « vertes »
</t>
    </r>
    <r>
      <rPr>
        <sz val="10"/>
        <color rgb="FFC00000"/>
        <rFont val="Swis721 Cn BT"/>
        <family val="2"/>
      </rPr>
      <t>La proximité des modes actifs et véhicules thermiques peut exposer à une surexposition aux polluants : limiter cette proximité</t>
    </r>
  </si>
  <si>
    <r>
      <t xml:space="preserve">Réduction du risques de pathologies respiratoires, de maladies cardiovasculaires, de pathologies du développement et intégrité physique, amélioration des capacité cognitive et réduction du stress
</t>
    </r>
    <r>
      <rPr>
        <sz val="10"/>
        <color rgb="FFC00000"/>
        <rFont val="Swis721 Cn BT"/>
        <family val="2"/>
      </rPr>
      <t>La recherche de la performance énergétique par la rénovation ou l’utilisation de modes de chauffages plus vertueux peut entrainer une baisse de la qualité de l’air intérieur (utilisation de solvants, chauffage au bois, etc.).</t>
    </r>
  </si>
  <si>
    <r>
      <t xml:space="preserve">Le présent document a pour vocation de permettre à la communauté de communes de Liancourtois de suivre l'avancement de la mise en œuvre de son plan d'actions entre 2022 et 2030.
L'outil se divise en 8 onglets principaux :
     </t>
    </r>
    <r>
      <rPr>
        <sz val="11"/>
        <color theme="1"/>
        <rFont val="Swis721 Cn BT"/>
        <family val="2"/>
      </rPr>
      <t xml:space="preserve">     - 1 onglet récapitualitf du plan d'actions
          - 5 onglets thématiques de suivi (1 par axe)
          - 1 onglets de suivi de la qualité de l'air
          - 1 onglet récapitulatif de l'impact du plan d'actions
</t>
    </r>
    <r>
      <rPr>
        <b/>
        <sz val="11"/>
        <color theme="1"/>
        <rFont val="Swis721 Cn BT"/>
        <family val="2"/>
      </rPr>
      <t xml:space="preserve">
</t>
    </r>
    <r>
      <rPr>
        <sz val="11"/>
        <color theme="1"/>
        <rFont val="Swis721 Cn BT"/>
        <family val="2"/>
      </rPr>
      <t xml:space="preserve">Chaque onglet "Axe" est à compléter de manière annuelle en </t>
    </r>
    <r>
      <rPr>
        <b/>
        <sz val="11"/>
        <color rgb="FFC00000"/>
        <rFont val="Swis721 Cn BT"/>
        <family val="2"/>
      </rPr>
      <t>remplissant les cases jaunes uniquement</t>
    </r>
    <r>
      <rPr>
        <sz val="11"/>
        <color theme="1"/>
        <rFont val="Swis721 Cn BT"/>
        <family val="2"/>
      </rPr>
      <t>. Chaque onglet thématique présente les actions de la thématiques, ses indicateurs, ainsi qu'un récapitulatif des gains en consommations énergétiques et émissions de GES par année en bas de chaque onglet.</t>
    </r>
    <r>
      <rPr>
        <b/>
        <sz val="11"/>
        <color theme="1"/>
        <rFont val="Swis721 Cn BT"/>
        <family val="2"/>
      </rPr>
      <t xml:space="preserve">
</t>
    </r>
    <r>
      <rPr>
        <sz val="11"/>
        <color theme="1"/>
        <rFont val="Swis721 Cn BT"/>
        <family val="2"/>
      </rPr>
      <t xml:space="preserve">Dans l'onglet récapitulatif, </t>
    </r>
    <r>
      <rPr>
        <b/>
        <sz val="11"/>
        <color rgb="FFC00000"/>
        <rFont val="Swis721 Cn BT"/>
        <family val="2"/>
      </rPr>
      <t>une liste déroulante en haut à gauche permet de sélectionner l'année sur laquelle vous souhaitez visualiser les résulats</t>
    </r>
    <r>
      <rPr>
        <sz val="11"/>
        <color theme="1"/>
        <rFont val="Swis721 Cn BT"/>
        <family val="2"/>
      </rPr>
      <t>, cette case est également en jaune.</t>
    </r>
    <r>
      <rPr>
        <b/>
        <sz val="11"/>
        <color theme="1"/>
        <rFont val="Swis721 Cn BT"/>
        <family val="2"/>
      </rPr>
      <t xml:space="preserve">
</t>
    </r>
    <r>
      <rPr>
        <sz val="11"/>
        <color theme="1"/>
        <rFont val="Swis721 Cn BT"/>
        <family val="2"/>
      </rPr>
      <t xml:space="preserve">Les résultats sont présentés en trois temps : </t>
    </r>
    <r>
      <rPr>
        <b/>
        <sz val="11"/>
        <color theme="1"/>
        <rFont val="Swis721 Cn BT"/>
        <family val="2"/>
      </rPr>
      <t xml:space="preserve">
          - Consommations énergétiques : </t>
    </r>
    <r>
      <rPr>
        <sz val="11"/>
        <color theme="1"/>
        <rFont val="Swis721 Cn BT"/>
        <family val="2"/>
      </rPr>
      <t>résumé entre 2022 et 2030 en comparant objectifs de la stratégie et mesures effectives et résumé par secteur de l'année sélectionnée</t>
    </r>
    <r>
      <rPr>
        <b/>
        <sz val="11"/>
        <color theme="1"/>
        <rFont val="Swis721 Cn BT"/>
        <family val="2"/>
      </rPr>
      <t xml:space="preserve">
          - Emissions de GES : </t>
    </r>
    <r>
      <rPr>
        <sz val="11"/>
        <color theme="1"/>
        <rFont val="Swis721 Cn BT"/>
        <family val="2"/>
      </rPr>
      <t>résumé entre 2022 et 2030 en comparant objectifs de la stratégie et mesures effectives et résumé par secteur de l'année sélectionnée</t>
    </r>
    <r>
      <rPr>
        <b/>
        <sz val="11"/>
        <color theme="1"/>
        <rFont val="Swis721 Cn BT"/>
        <family val="2"/>
      </rPr>
      <t xml:space="preserve">
          - Emissions de polluants atmosphériques : </t>
    </r>
    <r>
      <rPr>
        <sz val="11"/>
        <color theme="1"/>
        <rFont val="Swis721 Cn BT"/>
        <family val="2"/>
      </rPr>
      <t>résumé entre 2022 et 2030 en comparant objectifs de la stratégie et mesures effectives</t>
    </r>
  </si>
  <si>
    <t>Comment faire un document qui permette de voir les sous actions à conduire par an</t>
  </si>
  <si>
    <t>Solution 1 la plus simple</t>
  </si>
  <si>
    <t>Reporter ici le tableau complet de toutes les actions et sous actions et ajouter des colonnes à droite avec les années en indiquant "oui" ou "non" ou 0 et 1 pour dire si la sous actions est concernée par les différentes années et par un simple jeu de filtre on arrivera à voir les actions concernées par an</t>
  </si>
  <si>
    <t>Exemple</t>
  </si>
  <si>
    <t>Action 1</t>
  </si>
  <si>
    <t>Action 2</t>
  </si>
  <si>
    <t>sous action 1.1</t>
  </si>
  <si>
    <t>sous action 1.2</t>
  </si>
  <si>
    <t>sous action 1.3</t>
  </si>
  <si>
    <t>sous action 1.4</t>
  </si>
  <si>
    <t>sous action 2.2</t>
  </si>
  <si>
    <t>sous action 2.3</t>
  </si>
  <si>
    <t>sous action 2.1</t>
  </si>
  <si>
    <t>2022</t>
  </si>
  <si>
    <t>2023</t>
  </si>
  <si>
    <t>2024</t>
  </si>
  <si>
    <t>2025</t>
  </si>
  <si>
    <t>2026</t>
  </si>
  <si>
    <t>2027</t>
  </si>
  <si>
    <t>2028</t>
  </si>
  <si>
    <t>2029</t>
  </si>
  <si>
    <t>2030</t>
  </si>
  <si>
    <t>Tu créé un tableau comme le tableau suivi année avec un choix multiple (toutes les années concernées)</t>
  </si>
  <si>
    <t>tu prépares un tableau comme pour la solution 1 sauf qu'on va le cacher, ce sera pas le livrable</t>
  </si>
  <si>
    <t>Solution 2 : faire un truc un peu plus joli à bouton comme le récap évolution mais plus complexe</t>
  </si>
  <si>
    <t>le livrable sera un 3e tableau dans lequel tu vas faire un calcul indiquant : pour l'année X (celle indiquée dans le tableau suivi année) je veux savoir quelles sont les actions concernées, difficile de t'expliquer en live comment le faire faudrait y réfléchir, mais si tu arrives à faire un truc joli sur la solution 1 je pense que ça peut suffire.</t>
  </si>
  <si>
    <t>3.4 Diminuer l'exposition des population à la pollution atmosphérique</t>
  </si>
  <si>
    <t>Sous-actions</t>
  </si>
  <si>
    <t>1.1.A Développer des campagnes de sensibilisation régulières sur l’usage sain et sobre des logements</t>
  </si>
  <si>
    <t>1.1.B Organiser des « balades thermiques » pour sensibiliser les habitants</t>
  </si>
  <si>
    <t>1.1.C Développer des actions en faveur des écogestes</t>
  </si>
  <si>
    <t>1.1.D Accompagner le développement de l'individualisation des compteurs, afin de sensibiliser les habitants sur leurs consommations particulières</t>
  </si>
  <si>
    <t>OUI</t>
  </si>
  <si>
    <t>1.2.A Mettre en place un guichet unique de l'habitat pour sensibiliser et accompagner plus facilement les particuliers dans leur rénovation énergétique et le choix de travaux et matériaux de qualité</t>
  </si>
  <si>
    <t>1.2.B Recenser et diffuser les aides disponibles sur chaque commune</t>
  </si>
  <si>
    <t>1.2.C Établir et diffuser la liste des artisans dont l'agrément RGE est à jour (Reconnu Garant de l'Environnement) pour lutter contre les pratiques frauduleuses et prendre en compte l’aspect énergétique mais également qualitatif de la rénovation</t>
  </si>
  <si>
    <t>1.3.A Lancer des opérations de rénovation thermique (via la prise de compétence de la CCLVD sur l’habitat en septembre 2021)</t>
  </si>
  <si>
    <t>1.3.B Encourager la rénovation thermique des logements via une campagne de communication</t>
  </si>
  <si>
    <t>1.3.C Encourager la rénovation thermique par la mise en place d’une aide supplémentaire pour la réalisation d’un diagnostic thermique pour les bâtiments communaux, via fonds de concours</t>
  </si>
  <si>
    <t>1.4.A Réaliser une cartographie du parc de logements potentiellement précaires du territoire</t>
  </si>
  <si>
    <t>1.4.B Cibler ces ménages avec des campagnes de communication sur la précarité énergétique et les relais/aides disponibles</t>
  </si>
  <si>
    <t>1.4.C Mettre en place une cellule sociale d'accompagnement à la précarité énergétique</t>
  </si>
  <si>
    <t>1.5.A Créer un annuaire des professionnels du bâtiment du territoire</t>
  </si>
  <si>
    <t>1.5.B Informer et accompagner les artisans dans l’obtention du label RGE (avec l’aide de la région)</t>
  </si>
  <si>
    <t>1.5.C Développer la formation des professionnels du BTP aux enjeux énergétiques, aux impacts des produits toxiques sur la qualité de l’air, à la disparition des ressources, et aux solutions et techniques plus durables (matériaux biosourcés, ressources locales, etc.)</t>
  </si>
  <si>
    <t>1.5.D Rapprocher les artisans et petites entreprises des formateurs régionaux</t>
  </si>
  <si>
    <t>1.6 Réaliser un diagnostic des friches présentes sur le territoire</t>
  </si>
  <si>
    <t>1.6.A Poursuivre le recensement des friches du territoire en lien avec le SCoT, en s'appuyant sur l'atlas déjà réalisé par l’agence d’urbanisme et sur l’ABC sur l’usage des friches</t>
  </si>
  <si>
    <t>1.6.B Informer sur les méthodes de dépollution des friches</t>
  </si>
  <si>
    <t>1.6.C Encourager des programmes diversifiés lors de la requalification des friches urbaines ou industrielles en cohérence avec le SCoT (autres que des requalifications énergétiques)</t>
  </si>
  <si>
    <t>1.6.D Définir un plan d'action et de priorisation de réhabilitation des friches</t>
  </si>
  <si>
    <t>1.7.A Sensibiliser et inciter à la mise en place d’EnR&amp;R résidentielles</t>
  </si>
  <si>
    <t>1.7.B Étudier le potentiel de déploiement de réseaux de chaleurs urbains sur le territoire</t>
  </si>
  <si>
    <t>1.7.C Lancer une expérimentation d’autoconsommation collective sur le territoire</t>
  </si>
  <si>
    <t>2.1.A Faciliter la création d'un club d'entreprises, pour mettre en réseau celles éligibles au télétravail, et pour leur permettre de trouver des solutions mutualisées</t>
  </si>
  <si>
    <t>2.1.B Encourager la mise en place de solutions de mobilité mutualisées entre les entreprises</t>
  </si>
  <si>
    <t>2.1.C Créer des espaces de coworking sur le territoire, afin d’encourager et de faciliter la pratique du télétravail</t>
  </si>
  <si>
    <t>2.2.A Engager la création d'un réseau de commerçants de proximité sur le territoire</t>
  </si>
  <si>
    <t>2.2.B Promouvoir les commerces de proximité auprès des consommateurs</t>
  </si>
  <si>
    <t>2.2.C Mettre en place des aides à l'installation en centre-ville ou centre-bourg</t>
  </si>
  <si>
    <t>2.2.D Favoriser la création d’emplois et de centres de formation sur le territoire</t>
  </si>
  <si>
    <t>2.3.A Clarifier les compétences des différents acteurs en matière de mobilité et de voirie sur le territoire et le périmètre de gestion de la mobilité le plus pertinent</t>
  </si>
  <si>
    <t>2.3.B Réviser le plan de déplacement de territoire déjà réalisé</t>
  </si>
  <si>
    <t>2.4.A Augmenter la visibilité de la plateforme Oise Mobilité, qui recense les différents réseaux de transports en commun du territoire, et la développer</t>
  </si>
  <si>
    <t>2.4.B Développer de la pédagogie sur les nouveaux modes de transport</t>
  </si>
  <si>
    <t>2.4.C Mettre en cohérence les différents modes de transports afin de permettre l’intermodalité</t>
  </si>
  <si>
    <t>2.4.D Mettre en place des aires de mobilité rurales pour développer le covoiturage</t>
  </si>
  <si>
    <t xml:space="preserve">2.5.A Communiquer sur l’offre de transports en commun disponible sur le territoire </t>
  </si>
  <si>
    <t>2.5.B Créer un réseau de transports en commun, en fonction de l’évolution des besoins</t>
  </si>
  <si>
    <t>2.5.C Requalifier les quartiers des gares de Laigneville et Liancourt-Rantigny</t>
  </si>
  <si>
    <t>2.6.A Organiser des formations à la pratique du vélo</t>
  </si>
  <si>
    <t>2.6.B Développer la location longue durée de vélos dans les communes du territoire</t>
  </si>
  <si>
    <t>2.6.C Communiquer sur les subventions disponibles encourageant la pratique du vélo</t>
  </si>
  <si>
    <t>2.6.D Développer le réseau de pistes cyclables sécurisées et une offre de stationnement adéquate</t>
  </si>
  <si>
    <t>2.8.A Poursuivre le développement des carburants alternatifs en essor sur le territoire</t>
  </si>
  <si>
    <t>2.8.B Poursuivre l'installation des bornes de recharges électriques pour obtenir un maillage complet sur le territoire</t>
  </si>
  <si>
    <t>2.8.C Accompagner les particuliers et les entreprises dans le renouvellement de leur parc de véhicules</t>
  </si>
  <si>
    <t>2.7.A Encourager l'accès piéton aux centres-villes et centres-bourgs</t>
  </si>
  <si>
    <t>2.7.B Travailler sur l'abord des écoles dans les différentes communes du territoire</t>
  </si>
  <si>
    <t xml:space="preserve">2.7.C Encourager les entreprises (via le club d'entreprises) à travailler le modèle économique de la livraison et la problématique du dernier kilomètre </t>
  </si>
  <si>
    <t>3.1.A Poursuivre les initiatives en cours en faveur du dialogue entre l’intercommunalité et les agriculteurs du territoire</t>
  </si>
  <si>
    <t>3.1.B Impulser la création du club d’agriculteurs du territoire</t>
  </si>
  <si>
    <t>3.1.C Impulser la création d’une coopérative des producteurs locaux du territoire</t>
  </si>
  <si>
    <t>3.1.D Préserver l’emploi agricole à taille humaine sur le territoire en créant des contrats de sécurisation avec les agriculteurs locaux</t>
  </si>
  <si>
    <t>3.2.A Mieux préserver et valoriser les zones humides du territoire</t>
  </si>
  <si>
    <t>3.2.B Protéger les masses d’eau et sécuriser l’approvisionnement en eau potable et l’assainissement</t>
  </si>
  <si>
    <t xml:space="preserve">3.2.C Mener une politique de lutte contre le gaspillage et de gestion intégrée des eaux pluviales </t>
  </si>
  <si>
    <t>3.3.A Influer sur les choix de l'aménagement urbain</t>
  </si>
  <si>
    <t>3.3.B Sensibiliser les agriculteurs aux enjeux de la séquestration carbone et plus largement de l’adaptation au changement climatique</t>
  </si>
  <si>
    <t xml:space="preserve">3.3.C Mener une politique de lutte contre les ilots de chaleur urbains </t>
  </si>
  <si>
    <t>3.4.A Réaliser des études d’opportunité (accompagnées d’études d’impact carbone) pour évaluer les potentiels de valorisation des ressources naturelles du territoire en énergies renouvelables</t>
  </si>
  <si>
    <t>3.4.B Implanter de manière raisonnée de nouveaux méthaniseurs sur le territoire, afin de s’orienter vers l’indépendance énergétique en gaz</t>
  </si>
  <si>
    <t>3.4.C Renforcer les réseaux de transports d’électricité et de gaz pour accueillir la production d’EnR</t>
  </si>
  <si>
    <t>3.5.A Sensibiliser les habitants sur le lien entre pollution de l'air et santé</t>
  </si>
  <si>
    <t>3.5.B Informer les habitants et les professionnels sur les pollutions et risques engendrés par le brûlage à l’air libre des déchets verts et autres</t>
  </si>
  <si>
    <t>3.5.C Éviter l’exposition des populations à la pollution de l’air dans zones à risque</t>
  </si>
  <si>
    <t>3.5.D Mener une réflexion sur le choix des plantes lors des aménagements publics</t>
  </si>
  <si>
    <t>4.1.A Structurer le réseau des acteurs de la consommation responsable locale déjà en place sur le territoire de la CCLVD</t>
  </si>
  <si>
    <t>4.1.B Promouvoir les savoir-faire locaux (artisanat, commerces de proximité, producteurs) auprès des consommateurs du territoire</t>
  </si>
  <si>
    <t>4.1.C Étudier la possibilité d’implanter sur le territoire une maison des producteurs</t>
  </si>
  <si>
    <t>4.2.A Encourager le développement des rencontres inter-entreprises, en s'appuyant sur la création d'un club d'entreprises (cf. action 2.5)</t>
  </si>
  <si>
    <t>4.2.B Accompagner la rénovation énergétique du parc tertiaire, selon le décret tertiaire</t>
  </si>
  <si>
    <t>4.2.C Créer des pôles d’attractivités, en s’appuyant sur le club d’entreprises</t>
  </si>
  <si>
    <t xml:space="preserve">4.3.A Sensibiliser les commerçants et les habitants sur les modes de consommations moins impactants </t>
  </si>
  <si>
    <t>4.3.B Développer des partenariats pour optimiser le recyclage des déchets issus des activités du bâtiment, dans une démarche d'économie circulaire</t>
  </si>
  <si>
    <t>4.3.C Étudier la pertinence de la mise en place d'une tarification incitative pour encourager les ménages à réduire leur quantité de déchets</t>
  </si>
  <si>
    <t xml:space="preserve">4.4.A Sensibiliser les habitants sur le recyclage des déchets </t>
  </si>
  <si>
    <t>4.4.B Développer le maillage de déchetteries du territoire et faciliter la dépose en déchetterie des entreprises, afin d’éviter les dépôts sauvages</t>
  </si>
  <si>
    <t>4.5.A Identifier les acteurs de l’économie circulaire et encourager le développement de ce marché sur le territoire</t>
  </si>
  <si>
    <t>4.5.B Sensibiliser les habitants et les entreprises du territoire sur les modes de consommation alternatifs, l’économie circulaire, le réemploi</t>
  </si>
  <si>
    <t>4.5.C Développer une plateforme de mise en lien des acteurs pour que les déchets des uns deviennent les ressources d’autres</t>
  </si>
  <si>
    <t xml:space="preserve">5.1.A Créer un groupe de travail regroupant la chargée de mission PCAET (poste déjà ouvert) de la CCLVD et un référent volontaire dans chaque commune et/ou un COPIL de transition écologique impliquant les élus </t>
  </si>
  <si>
    <t>5.1.B Assurer le suivi et l’animation du PCAET</t>
  </si>
  <si>
    <t xml:space="preserve">5.2.A Mettre en place une cellule de gestion optimisée et mutualisée de la transition écologique </t>
  </si>
  <si>
    <t>5.2.B Sensibiliser les agents, les élus et les occupants des bâtiments à la sobriété énergétique et matérielle</t>
  </si>
  <si>
    <t>5.2.C Organiser des visites de sites et des retours d’expériences entre les communes</t>
  </si>
  <si>
    <t>5.3.A Évaluer l'audit énergétique du patrimoine bâti réalisé en 2017</t>
  </si>
  <si>
    <t>5.3.B Avoir une logique de mieux-disant dans les appels d’offres pour encourager les pratiques vertueuses</t>
  </si>
  <si>
    <t>5.3.C Améliorer le bilan énergétique de la compétence gestion de l’eau et assainissement, compétences les plus impactantes en termes d'émission de gaz à effet de serre</t>
  </si>
  <si>
    <t>5.4.A Élaborer un Plan de Déplacements Inter-Administration (PDiA)</t>
  </si>
  <si>
    <t>5.4.B Encourager les agents et les élus à réduire leurs déplacements et à pratiquer l'écomobilité</t>
  </si>
  <si>
    <t>5.4.C Renouveler le parc de l’EPCI avec des véhicules moins carbonés</t>
  </si>
  <si>
    <t>5.5.A Sensibiliser les agents et les élus au tri</t>
  </si>
  <si>
    <t>5.5.B Faciliter le compostage par la mise à disposition de composteurs sur les lieux de travail</t>
  </si>
  <si>
    <t>5.6.A Former et sensibiliser les employés de la communauté de communes sur les sujets du développement durable et de la consommation responsable</t>
  </si>
  <si>
    <t>5.6.B Intégrer des clauses environnementales dans les marchés publics</t>
  </si>
  <si>
    <t>5.6.C Mettre en place une charte d’achats responsables</t>
  </si>
  <si>
    <t>5.6.D Développer les produits bio et locaux au sein des cantines scolaires</t>
  </si>
  <si>
    <t>2.3 Développer un plan de déplacement de territoire cohérent</t>
  </si>
  <si>
    <t>1.3 Faciliter la rénovation énergétique des logements</t>
  </si>
  <si>
    <t>2.5 Développer l'offre de transports en commun sur le territoire et encourager son utilisation auprès des habitants</t>
  </si>
  <si>
    <t>2.7 Encourager la réduction de la part modale des véhicules thermiques (voitures individuelles et véhicules de transport de marchandises)</t>
  </si>
  <si>
    <t>2.8 Accompagner le déploiement d’un mix de véhicules moins carbonés</t>
  </si>
  <si>
    <t>4.1 Soutenir le développement des commerces et services locaux</t>
  </si>
  <si>
    <t>Part des véhicules propres dans le parc roulant(gaz, hydrogène, électrique...) (SRADDET)</t>
  </si>
  <si>
    <t>min</t>
  </si>
  <si>
    <t>Temps de trajet moyen des déplacements domicile-travail des actifs occupés - SRADDET</t>
  </si>
  <si>
    <t>Part des déplacements domicile-travail en voiture par territoire - SRADDET</t>
  </si>
  <si>
    <t>Nombre de démarches ou initiatives en matière d’économie circulaire portées par les collectivités - SRADDET</t>
  </si>
  <si>
    <t>Nombre de démarches ou initiatives en matière d’économie circulaire portées par les entreprises ou le monde économique - SRADDET</t>
  </si>
  <si>
    <t>t/an</t>
  </si>
  <si>
    <t>Tonnages des déchets ménagers et assimilés produits et collectés – SRADDET</t>
  </si>
  <si>
    <t>Tonnages des déchets produits par les activités économiques  - SRADDET</t>
  </si>
  <si>
    <t>Pourcentage de la population intercommunale couverte par la tarification incitative - SRADDET</t>
  </si>
  <si>
    <t>Part des ménages en situation de vulnérabilité énergétique - SRADDET</t>
  </si>
  <si>
    <t>ha</t>
  </si>
  <si>
    <t>Nombre d’hectares cultivés en agriculture de conservation de sol et en agriculture biologique, nombre d’hectares engagés en MAEC semis direct - SRADDET</t>
  </si>
  <si>
    <t>Intégration d’un volet adaptation dans les documents d’urbanisme - SRADDET</t>
  </si>
  <si>
    <t>nbr.doc</t>
  </si>
  <si>
    <t>Nombre d’hectares d’espaces boisés (surfaciques et linéaires) et forestiers - SRADDET</t>
  </si>
  <si>
    <t>Emissions de NOx et PM10  - SRADDET</t>
  </si>
  <si>
    <t>t</t>
  </si>
  <si>
    <t>(%)</t>
  </si>
  <si>
    <t>Part des véhicules propres dans le parc roulant - SRADDET</t>
  </si>
  <si>
    <t xml:space="preserve">Nombre de logement rénovés </t>
  </si>
  <si>
    <t>2019.560-E11 Tableau_suivi_PCAET</t>
  </si>
  <si>
    <t>2020.560-E11 Tableau_suivi_PCAET</t>
  </si>
  <si>
    <t>2020.560-E011 Tableau_suivi_PCAET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</si>
</sst>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 &quot;€&quot;"/>
    <numFmt numFmtId="165" formatCode="_-* #,##0.0_-;\-* #,##0.0_-;_-* &quot;-&quot;??_-;_-@_-"/>
    <numFmt numFmtId="166" formatCode="_-* #,##0.0\ _€_-;\-* #,##0.0\ _€_-;_-* &quot;-&quot;?\ _€_-;_-@_-"/>
    <numFmt numFmtId="167" formatCode="_-* #,##0_-;\-* #,##0_-;_-* &quot;-&quot;??_-;_-@_-"/>
    <numFmt numFmtId="168" formatCode="0.0"/>
    <numFmt numFmtId="169" formatCode="0.0%"/>
  </numFmts>
  <fonts count="73">
    <font>
      <sz val="11"/>
      <color theme="1"/>
      <name val="Calibri"/>
      <charset val="134"/>
      <scheme val="minor"/>
    </font>
    <font>
      <sz val="11"/>
      <color theme="1"/>
      <name val="Calibri"/>
      <family val="2"/>
      <scheme val="minor"/>
    </font>
    <font>
      <sz val="11"/>
      <color theme="1"/>
      <name val="Swis721 Cn BT"/>
      <family val="2"/>
    </font>
    <font>
      <sz val="11"/>
      <color theme="1"/>
      <name val="Calibri"/>
      <family val="2"/>
      <scheme val="minor"/>
    </font>
    <font>
      <sz val="11"/>
      <color theme="1"/>
      <name val="Swis721 Cn BT"/>
      <family val="2"/>
    </font>
    <font>
      <sz val="11"/>
      <color theme="1"/>
      <name val="Calibri"/>
      <family val="2"/>
      <scheme val="minor"/>
    </font>
    <font>
      <sz val="11"/>
      <color theme="1"/>
      <name val="Calibri"/>
      <family val="2"/>
      <scheme val="minor"/>
    </font>
    <font>
      <sz val="11"/>
      <color theme="1"/>
      <name val="Swis721 Cn B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6"/>
      <color theme="1"/>
      <name val="Calibri"/>
      <family val="2"/>
      <scheme val="minor"/>
    </font>
    <font>
      <sz val="10"/>
      <name val="Arial"/>
      <family val="2"/>
    </font>
    <font>
      <sz val="11"/>
      <color theme="1"/>
      <name val="Swis721 Cn BT"/>
      <family val="2"/>
    </font>
    <font>
      <sz val="11"/>
      <color rgb="FF000000"/>
      <name val="Calibri"/>
      <family val="2"/>
    </font>
    <font>
      <b/>
      <sz val="20"/>
      <color theme="0"/>
      <name val="Calibri"/>
      <family val="2"/>
      <scheme val="minor"/>
    </font>
    <font>
      <b/>
      <sz val="10"/>
      <color theme="1"/>
      <name val="Calibri"/>
      <family val="2"/>
      <scheme val="minor"/>
    </font>
    <font>
      <b/>
      <sz val="12"/>
      <color theme="1"/>
      <name val="Calibri"/>
      <family val="2"/>
      <scheme val="minor"/>
    </font>
    <font>
      <b/>
      <sz val="16"/>
      <color theme="0"/>
      <name val="Swis721 Cn BT"/>
      <family val="2"/>
    </font>
    <font>
      <sz val="11"/>
      <color theme="1"/>
      <name val="Calibri"/>
      <family val="2"/>
      <scheme val="minor"/>
    </font>
    <font>
      <sz val="11"/>
      <color indexed="8"/>
      <name val="Calibri"/>
      <family val="2"/>
    </font>
    <font>
      <b/>
      <sz val="16"/>
      <color theme="0"/>
      <name val="Swis721 Cn BT"/>
      <family val="2"/>
    </font>
    <font>
      <b/>
      <sz val="12"/>
      <color theme="1"/>
      <name val="Swis721 Cn BT"/>
      <family val="2"/>
    </font>
    <font>
      <sz val="12"/>
      <color theme="1"/>
      <name val="Swis721 Cn BT"/>
      <family val="2"/>
    </font>
    <font>
      <sz val="10"/>
      <color theme="1"/>
      <name val="Swis721 Cn BT"/>
      <family val="2"/>
    </font>
    <font>
      <b/>
      <sz val="11"/>
      <color theme="1"/>
      <name val="Swis721 Cn BT"/>
      <family val="2"/>
    </font>
    <font>
      <sz val="11"/>
      <color theme="1"/>
      <name val="Swis721 Cn BT"/>
      <family val="2"/>
    </font>
    <font>
      <i/>
      <sz val="11"/>
      <color theme="1"/>
      <name val="Swis721 Cn BT"/>
      <family val="2"/>
    </font>
    <font>
      <b/>
      <i/>
      <sz val="10"/>
      <color theme="1"/>
      <name val="Swis721 Cn BT"/>
      <family val="2"/>
    </font>
    <font>
      <b/>
      <i/>
      <sz val="11"/>
      <color theme="1"/>
      <name val="Swis721 Cn BT"/>
      <family val="2"/>
    </font>
    <font>
      <sz val="16"/>
      <color theme="1"/>
      <name val="Calibri"/>
      <family val="2"/>
      <scheme val="minor"/>
    </font>
    <font>
      <sz val="8"/>
      <name val="Calibri"/>
      <family val="2"/>
      <scheme val="minor"/>
    </font>
    <font>
      <b/>
      <sz val="20"/>
      <color theme="0"/>
      <name val="Calibri"/>
      <family val="2"/>
      <scheme val="minor"/>
    </font>
    <font>
      <b/>
      <sz val="22"/>
      <color rgb="FF039A9F"/>
      <name val="Swis721 Cn BT"/>
      <family val="2"/>
    </font>
    <font>
      <b/>
      <sz val="16"/>
      <name val="Swis721 Cn BT"/>
      <family val="2"/>
    </font>
    <font>
      <sz val="16"/>
      <name val="Swis721 Cn BT"/>
      <family val="2"/>
    </font>
    <font>
      <b/>
      <sz val="24"/>
      <name val="Swis721 Cn BT"/>
      <family val="2"/>
    </font>
    <font>
      <sz val="8"/>
      <name val="Calibri"/>
      <family val="2"/>
      <scheme val="minor"/>
    </font>
    <font>
      <sz val="16"/>
      <name val="Calibri"/>
      <family val="2"/>
      <scheme val="minor"/>
    </font>
    <font>
      <u/>
      <sz val="11"/>
      <color theme="10"/>
      <name val="Calibri"/>
      <family val="2"/>
      <scheme val="minor"/>
    </font>
    <font>
      <u/>
      <sz val="11"/>
      <color theme="0"/>
      <name val="Calibri"/>
      <family val="2"/>
      <scheme val="minor"/>
    </font>
    <font>
      <b/>
      <sz val="11"/>
      <color rgb="FFC00000"/>
      <name val="Swis721 Cn BT"/>
      <family val="2"/>
    </font>
    <font>
      <sz val="12"/>
      <name val="Swis721 Cn BT"/>
      <family val="2"/>
    </font>
    <font>
      <sz val="20"/>
      <color theme="1"/>
      <name val="Calibri"/>
      <family val="2"/>
      <scheme val="minor"/>
    </font>
    <font>
      <sz val="9"/>
      <color indexed="81"/>
      <name val="Tahoma"/>
      <charset val="1"/>
    </font>
    <font>
      <b/>
      <sz val="9"/>
      <color indexed="81"/>
      <name val="Tahoma"/>
      <charset val="1"/>
    </font>
    <font>
      <sz val="16"/>
      <name val="Swis721 Cn BT"/>
    </font>
    <font>
      <b/>
      <sz val="10"/>
      <color theme="1"/>
      <name val="Swis721 Cn BT"/>
      <family val="2"/>
    </font>
    <font>
      <sz val="12"/>
      <color theme="0"/>
      <name val="Swis721 Cn BT"/>
      <family val="2"/>
    </font>
    <font>
      <sz val="9"/>
      <color theme="1"/>
      <name val="Swis721 Cn BT"/>
      <family val="2"/>
    </font>
    <font>
      <sz val="8"/>
      <color theme="1"/>
      <name val="Swis721 Cn BT"/>
      <family val="2"/>
    </font>
    <font>
      <sz val="8"/>
      <color rgb="FFC00000"/>
      <name val="Swis721 Cn BT"/>
      <family val="2"/>
    </font>
    <font>
      <sz val="7"/>
      <color theme="1"/>
      <name val="Swis721 Cn BT"/>
      <family val="2"/>
    </font>
    <font>
      <sz val="7"/>
      <color rgb="FFC00000"/>
      <name val="Swis721 Cn BT"/>
      <family val="2"/>
    </font>
    <font>
      <b/>
      <sz val="7"/>
      <color theme="1"/>
      <name val="Swis721 Cn BT"/>
      <family val="2"/>
    </font>
    <font>
      <sz val="10"/>
      <color rgb="FFC00000"/>
      <name val="Swis721 Cn BT"/>
      <family val="2"/>
    </font>
    <font>
      <sz val="9"/>
      <color rgb="FFC00000"/>
      <name val="Swis721 Cn BT"/>
      <family val="2"/>
    </font>
    <font>
      <sz val="10"/>
      <color theme="0"/>
      <name val="Swis721 Cn BT"/>
      <family val="2"/>
    </font>
    <font>
      <sz val="12"/>
      <color theme="1"/>
      <name val="Calibri"/>
      <family val="2"/>
      <scheme val="minor"/>
    </font>
    <font>
      <sz val="10"/>
      <color theme="1"/>
      <name val="Calibri"/>
      <family val="2"/>
      <scheme val="minor"/>
    </font>
    <font>
      <b/>
      <sz val="26"/>
      <color rgb="FFC00000"/>
      <name val="Calibri"/>
      <family val="2"/>
      <scheme val="minor"/>
    </font>
    <font>
      <b/>
      <sz val="16"/>
      <color theme="5"/>
      <name val="Calibri"/>
      <family val="2"/>
      <scheme val="minor"/>
    </font>
    <font>
      <b/>
      <sz val="20"/>
      <color theme="5"/>
      <name val="Calibri"/>
      <family val="2"/>
      <scheme val="minor"/>
    </font>
    <font>
      <sz val="16"/>
      <color theme="5"/>
      <name val="Calibri"/>
      <family val="2"/>
      <scheme val="minor"/>
    </font>
    <font>
      <sz val="14"/>
      <color theme="1"/>
      <name val="Calibri"/>
      <family val="2"/>
      <scheme val="minor"/>
    </font>
    <font>
      <sz val="8"/>
      <name val="Calibri"/>
      <charset val="134"/>
      <scheme val="minor"/>
    </font>
    <font>
      <sz val="11"/>
      <name val="Swis721 Cn BT"/>
      <family val="2"/>
    </font>
    <font>
      <sz val="8"/>
      <name val="Swis721 Cn BT"/>
      <family val="2"/>
    </font>
    <font>
      <sz val="9"/>
      <name val="Swis721 Cn BT"/>
      <family val="2"/>
    </font>
    <font>
      <sz val="14"/>
      <color theme="0"/>
      <name val="Swis721 Cn BT"/>
      <family val="2"/>
    </font>
  </fonts>
  <fills count="2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lightUp"/>
    </fill>
    <fill>
      <patternFill patternType="solid">
        <fgColor rgb="FF63BCC0"/>
        <bgColor indexed="64"/>
      </patternFill>
    </fill>
    <fill>
      <patternFill patternType="solid">
        <fgColor rgb="FFCCCCCC"/>
        <bgColor indexed="64"/>
      </patternFill>
    </fill>
    <fill>
      <patternFill patternType="solid">
        <fgColor rgb="FFFFE699"/>
        <bgColor indexed="64"/>
      </patternFill>
    </fill>
    <fill>
      <patternFill patternType="solid">
        <fgColor rgb="FFF3A497"/>
        <bgColor indexed="64"/>
      </patternFill>
    </fill>
    <fill>
      <patternFill patternType="solid">
        <fgColor rgb="FFA9D18E"/>
        <bgColor indexed="64"/>
      </patternFill>
    </fill>
    <fill>
      <patternFill patternType="solid">
        <fgColor rgb="FF245E9B"/>
        <bgColor indexed="64"/>
      </patternFill>
    </fill>
    <fill>
      <patternFill patternType="lightUp">
        <bgColor theme="0"/>
      </patternFill>
    </fill>
    <fill>
      <patternFill patternType="solid">
        <fgColor rgb="FFFFD9D9"/>
        <bgColor indexed="64"/>
      </patternFill>
    </fill>
    <fill>
      <patternFill patternType="solid">
        <fgColor rgb="FFA6D9FC"/>
        <bgColor indexed="64"/>
      </patternFill>
    </fill>
    <fill>
      <patternFill patternType="solid">
        <fgColor rgb="FFB2DD83"/>
        <bgColor indexed="64"/>
      </patternFill>
    </fill>
    <fill>
      <patternFill patternType="solid">
        <fgColor rgb="FFDAC1ED"/>
        <bgColor indexed="64"/>
      </patternFill>
    </fill>
    <fill>
      <patternFill patternType="solid">
        <fgColor rgb="FF96BCE6"/>
        <bgColor indexed="64"/>
      </patternFill>
    </fill>
    <fill>
      <patternFill patternType="lightUp">
        <bgColor theme="0" tint="-0.14999847407452621"/>
      </patternFill>
    </fill>
    <fill>
      <patternFill patternType="solid">
        <fgColor theme="5"/>
        <bgColor indexed="64"/>
      </patternFill>
    </fill>
    <fill>
      <patternFill patternType="solid">
        <fgColor theme="1" tint="0.499984740745262"/>
        <bgColor indexed="64"/>
      </patternFill>
    </fill>
  </fills>
  <borders count="110">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thin">
        <color auto="1"/>
      </right>
      <top/>
      <bottom/>
      <diagonal/>
    </border>
    <border>
      <left style="thin">
        <color auto="1"/>
      </left>
      <right/>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medium">
        <color auto="1"/>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medium">
        <color auto="1"/>
      </right>
      <top/>
      <bottom/>
      <diagonal/>
    </border>
    <border>
      <left style="medium">
        <color auto="1"/>
      </left>
      <right style="medium">
        <color auto="1"/>
      </right>
      <top/>
      <bottom style="dashDotDot">
        <color auto="1"/>
      </bottom>
      <diagonal/>
    </border>
    <border>
      <left style="medium">
        <color auto="1"/>
      </left>
      <right style="thin">
        <color auto="1"/>
      </right>
      <top style="thin">
        <color auto="1"/>
      </top>
      <bottom style="thin">
        <color auto="1"/>
      </bottom>
      <diagonal/>
    </border>
    <border>
      <left style="medium">
        <color auto="1"/>
      </left>
      <right style="thin">
        <color auto="1"/>
      </right>
      <top style="dashDotDot">
        <color auto="1"/>
      </top>
      <bottom/>
      <diagonal/>
    </border>
    <border>
      <left style="thin">
        <color auto="1"/>
      </left>
      <right style="thin">
        <color auto="1"/>
      </right>
      <top style="dashDotDot">
        <color auto="1"/>
      </top>
      <bottom/>
      <diagonal/>
    </border>
    <border>
      <left style="thin">
        <color auto="1"/>
      </left>
      <right style="medium">
        <color auto="1"/>
      </right>
      <top style="dashDotDot">
        <color auto="1"/>
      </top>
      <bottom/>
      <diagonal/>
    </border>
    <border>
      <left style="medium">
        <color auto="1"/>
      </left>
      <right style="medium">
        <color auto="1"/>
      </right>
      <top style="dashDotDot">
        <color auto="1"/>
      </top>
      <bottom/>
      <diagonal/>
    </border>
    <border>
      <left style="medium">
        <color auto="1"/>
      </left>
      <right style="thin">
        <color auto="1"/>
      </right>
      <top style="thin">
        <color auto="1"/>
      </top>
      <bottom/>
      <diagonal/>
    </border>
    <border>
      <left style="medium">
        <color auto="1"/>
      </left>
      <right style="thin">
        <color auto="1"/>
      </right>
      <top/>
      <bottom style="dashDotDot">
        <color auto="1"/>
      </bottom>
      <diagonal/>
    </border>
    <border>
      <left style="thin">
        <color auto="1"/>
      </left>
      <right style="thin">
        <color auto="1"/>
      </right>
      <top/>
      <bottom style="dashDotDot">
        <color auto="1"/>
      </bottom>
      <diagonal/>
    </border>
    <border>
      <left style="thin">
        <color auto="1"/>
      </left>
      <right style="medium">
        <color auto="1"/>
      </right>
      <top/>
      <bottom style="dashDotDot">
        <color auto="1"/>
      </bottom>
      <diagonal/>
    </border>
    <border>
      <left style="medium">
        <color auto="1"/>
      </left>
      <right style="thin">
        <color auto="1"/>
      </right>
      <top style="thin">
        <color auto="1"/>
      </top>
      <bottom style="medium">
        <color auto="1"/>
      </bottom>
      <diagonal/>
    </border>
    <border>
      <left style="thin">
        <color auto="1"/>
      </left>
      <right/>
      <top style="hair">
        <color auto="1"/>
      </top>
      <bottom style="medium">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medium">
        <color auto="1"/>
      </right>
      <top style="hair">
        <color auto="1"/>
      </top>
      <bottom style="medium">
        <color auto="1"/>
      </bottom>
      <diagonal/>
    </border>
    <border>
      <left style="medium">
        <color auto="1"/>
      </left>
      <right/>
      <top style="dashDotDot">
        <color auto="1"/>
      </top>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thin">
        <color auto="1"/>
      </right>
      <top/>
      <bottom/>
      <diagonal/>
    </border>
    <border>
      <left/>
      <right/>
      <top/>
      <bottom style="thin">
        <color auto="1"/>
      </bottom>
      <diagonal/>
    </border>
    <border>
      <left style="thin">
        <color auto="1"/>
      </left>
      <right style="medium">
        <color auto="1"/>
      </right>
      <top/>
      <bottom style="medium">
        <color auto="1"/>
      </bottom>
      <diagonal/>
    </border>
    <border>
      <left style="thin">
        <color auto="1"/>
      </left>
      <right/>
      <top style="thin">
        <color auto="1"/>
      </top>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dashDotDot">
        <color auto="1"/>
      </top>
      <bottom style="thin">
        <color auto="1"/>
      </bottom>
      <diagonal/>
    </border>
    <border>
      <left style="thin">
        <color auto="1"/>
      </left>
      <right style="medium">
        <color auto="1"/>
      </right>
      <top style="dashDotDot">
        <color auto="1"/>
      </top>
      <bottom style="thin">
        <color auto="1"/>
      </bottom>
      <diagonal/>
    </border>
    <border>
      <left style="medium">
        <color auto="1"/>
      </left>
      <right style="thin">
        <color auto="1"/>
      </right>
      <top style="dashDotDot">
        <color auto="1"/>
      </top>
      <bottom style="thin">
        <color auto="1"/>
      </bottom>
      <diagonal/>
    </border>
    <border>
      <left style="thin">
        <color auto="1"/>
      </left>
      <right style="thin">
        <color auto="1"/>
      </right>
      <top style="dashDotDot">
        <color auto="1"/>
      </top>
      <bottom style="thin">
        <color auto="1"/>
      </bottom>
      <diagonal/>
    </border>
    <border>
      <left/>
      <right style="thin">
        <color auto="1"/>
      </right>
      <top style="thin">
        <color auto="1"/>
      </top>
      <bottom style="dashDotDot">
        <color auto="1"/>
      </bottom>
      <diagonal/>
    </border>
    <border>
      <left style="thin">
        <color auto="1"/>
      </left>
      <right style="medium">
        <color auto="1"/>
      </right>
      <top style="thin">
        <color auto="1"/>
      </top>
      <bottom style="dashDotDot">
        <color auto="1"/>
      </bottom>
      <diagonal/>
    </border>
    <border>
      <left style="medium">
        <color auto="1"/>
      </left>
      <right style="thin">
        <color auto="1"/>
      </right>
      <top style="thin">
        <color auto="1"/>
      </top>
      <bottom style="dashDotDot">
        <color auto="1"/>
      </bottom>
      <diagonal/>
    </border>
    <border>
      <left style="thin">
        <color auto="1"/>
      </left>
      <right style="thin">
        <color auto="1"/>
      </right>
      <top style="thin">
        <color auto="1"/>
      </top>
      <bottom style="dashDotDot">
        <color auto="1"/>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right style="medium">
        <color auto="1"/>
      </right>
      <top style="medium">
        <color auto="1"/>
      </top>
      <bottom/>
      <diagonal/>
    </border>
    <border>
      <left style="thin">
        <color auto="1"/>
      </left>
      <right/>
      <top/>
      <bottom style="thin">
        <color auto="1"/>
      </bottom>
      <diagonal/>
    </border>
    <border>
      <left/>
      <right style="medium">
        <color auto="1"/>
      </right>
      <top/>
      <bottom/>
      <diagonal/>
    </border>
    <border>
      <left style="medium">
        <color auto="1"/>
      </left>
      <right/>
      <top/>
      <bottom style="dashDotDot">
        <color indexed="64"/>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right style="medium">
        <color indexed="64"/>
      </right>
      <top/>
      <bottom style="medium">
        <color indexed="64"/>
      </bottom>
      <diagonal/>
    </border>
    <border>
      <left style="medium">
        <color indexed="64"/>
      </left>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auto="1"/>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auto="1"/>
      </right>
      <top style="thin">
        <color auto="1"/>
      </top>
      <bottom/>
      <diagonal/>
    </border>
    <border>
      <left style="thin">
        <color auto="1"/>
      </left>
      <right/>
      <top style="dashDotDot">
        <color auto="1"/>
      </top>
      <bottom/>
      <diagonal/>
    </border>
    <border>
      <left style="thin">
        <color auto="1"/>
      </left>
      <right/>
      <top/>
      <bottom style="dashDotDot">
        <color auto="1"/>
      </bottom>
      <diagonal/>
    </border>
    <border>
      <left/>
      <right/>
      <top style="dashDotDot">
        <color auto="1"/>
      </top>
      <bottom/>
      <diagonal/>
    </border>
    <border>
      <left/>
      <right style="thin">
        <color auto="1"/>
      </right>
      <top style="dashDotDot">
        <color auto="1"/>
      </top>
      <bottom/>
      <diagonal/>
    </border>
    <border>
      <left/>
      <right style="thin">
        <color auto="1"/>
      </right>
      <top/>
      <bottom style="dashDotDot">
        <color auto="1"/>
      </bottom>
      <diagonal/>
    </border>
    <border>
      <left/>
      <right style="thin">
        <color auto="1"/>
      </right>
      <top style="hair">
        <color auto="1"/>
      </top>
      <bottom style="medium">
        <color auto="1"/>
      </bottom>
      <diagonal/>
    </border>
    <border>
      <left/>
      <right style="medium">
        <color auto="1"/>
      </right>
      <top style="dashDotDot">
        <color indexed="64"/>
      </top>
      <bottom/>
      <diagonal/>
    </border>
    <border>
      <left/>
      <right style="medium">
        <color auto="1"/>
      </right>
      <top/>
      <bottom style="dashDotDot">
        <color indexed="64"/>
      </bottom>
      <diagonal/>
    </border>
    <border>
      <left style="thin">
        <color auto="1"/>
      </left>
      <right style="medium">
        <color indexed="64"/>
      </right>
      <top style="thin">
        <color auto="1"/>
      </top>
      <bottom style="medium">
        <color indexed="64"/>
      </bottom>
      <diagonal/>
    </border>
    <border>
      <left style="thin">
        <color auto="1"/>
      </left>
      <right style="dashDotDot">
        <color indexed="64"/>
      </right>
      <top style="medium">
        <color auto="1"/>
      </top>
      <bottom/>
      <diagonal/>
    </border>
    <border>
      <left style="thin">
        <color auto="1"/>
      </left>
      <right style="dashDotDot">
        <color indexed="64"/>
      </right>
      <top/>
      <bottom/>
      <diagonal/>
    </border>
    <border>
      <left/>
      <right style="medium">
        <color auto="1"/>
      </right>
      <top/>
      <bottom style="thin">
        <color auto="1"/>
      </bottom>
      <diagonal/>
    </border>
    <border>
      <left style="medium">
        <color auto="1"/>
      </left>
      <right style="medium">
        <color auto="1"/>
      </right>
      <top/>
      <bottom style="hair">
        <color auto="1"/>
      </bottom>
      <diagonal/>
    </border>
    <border>
      <left style="medium">
        <color auto="1"/>
      </left>
      <right style="medium">
        <color auto="1"/>
      </right>
      <top style="dashDotDot">
        <color auto="1"/>
      </top>
      <bottom style="thin">
        <color indexed="64"/>
      </bottom>
      <diagonal/>
    </border>
    <border>
      <left style="dashDotDot">
        <color indexed="64"/>
      </left>
      <right style="dashDotDot">
        <color indexed="64"/>
      </right>
      <top style="dashDotDot">
        <color indexed="64"/>
      </top>
      <bottom style="dashDotDot">
        <color indexed="64"/>
      </bottom>
      <diagonal/>
    </border>
    <border>
      <left/>
      <right style="thin">
        <color auto="1"/>
      </right>
      <top style="medium">
        <color auto="1"/>
      </top>
      <bottom style="thin">
        <color auto="1"/>
      </bottom>
      <diagonal/>
    </border>
    <border>
      <left/>
      <right/>
      <top style="hair">
        <color auto="1"/>
      </top>
      <bottom style="medium">
        <color auto="1"/>
      </bottom>
      <diagonal/>
    </border>
    <border>
      <left style="thin">
        <color auto="1"/>
      </left>
      <right/>
      <top style="thin">
        <color auto="1"/>
      </top>
      <bottom style="dashDotDot">
        <color auto="1"/>
      </bottom>
      <diagonal/>
    </border>
    <border>
      <left style="thin">
        <color auto="1"/>
      </left>
      <right/>
      <top style="dashDotDot">
        <color auto="1"/>
      </top>
      <bottom style="thin">
        <color auto="1"/>
      </bottom>
      <diagonal/>
    </border>
    <border>
      <left style="medium">
        <color auto="1"/>
      </left>
      <right style="medium">
        <color auto="1"/>
      </right>
      <top style="thin">
        <color auto="1"/>
      </top>
      <bottom style="dashDotDot">
        <color indexed="64"/>
      </bottom>
      <diagonal/>
    </border>
    <border>
      <left/>
      <right style="medium">
        <color auto="1"/>
      </right>
      <top style="dashDotDot">
        <color auto="1"/>
      </top>
      <bottom style="thin">
        <color auto="1"/>
      </bottom>
      <diagonal/>
    </border>
    <border>
      <left style="thin">
        <color auto="1"/>
      </left>
      <right style="thin">
        <color indexed="64"/>
      </right>
      <top/>
      <bottom style="hair">
        <color auto="1"/>
      </bottom>
      <diagonal/>
    </border>
    <border>
      <left/>
      <right/>
      <top/>
      <bottom style="dashDotDot">
        <color auto="1"/>
      </bottom>
      <diagonal/>
    </border>
    <border>
      <left/>
      <right style="thin">
        <color auto="1"/>
      </right>
      <top/>
      <bottom style="medium">
        <color auto="1"/>
      </bottom>
      <diagonal/>
    </border>
    <border>
      <left style="dashDotDot">
        <color indexed="64"/>
      </left>
      <right/>
      <top style="dashDotDot">
        <color indexed="64"/>
      </top>
      <bottom/>
      <diagonal/>
    </border>
    <border>
      <left style="dashDotDot">
        <color indexed="64"/>
      </left>
      <right/>
      <top/>
      <bottom/>
      <diagonal/>
    </border>
    <border>
      <left style="medium">
        <color auto="1"/>
      </left>
      <right style="thin">
        <color auto="1"/>
      </right>
      <top/>
      <bottom style="hair">
        <color auto="1"/>
      </bottom>
      <diagonal/>
    </border>
    <border>
      <left style="thin">
        <color auto="1"/>
      </left>
      <right style="medium">
        <color auto="1"/>
      </right>
      <top/>
      <bottom style="hair">
        <color auto="1"/>
      </bottom>
      <diagonal/>
    </border>
    <border>
      <left style="thin">
        <color auto="1"/>
      </left>
      <right/>
      <top/>
      <bottom style="medium">
        <color auto="1"/>
      </bottom>
      <diagonal/>
    </border>
    <border>
      <left style="thin">
        <color auto="1"/>
      </left>
      <right/>
      <top style="medium">
        <color auto="1"/>
      </top>
      <bottom style="thin">
        <color auto="1"/>
      </bottom>
      <diagonal/>
    </border>
    <border>
      <left style="medium">
        <color indexed="64"/>
      </left>
      <right/>
      <top/>
      <bottom style="thin">
        <color auto="1"/>
      </bottom>
      <diagonal/>
    </border>
    <border>
      <left/>
      <right style="medium">
        <color auto="1"/>
      </right>
      <top style="thin">
        <color auto="1"/>
      </top>
      <bottom style="dashDotDot">
        <color auto="1"/>
      </bottom>
      <diagonal/>
    </border>
    <border>
      <left style="medium">
        <color auto="1"/>
      </left>
      <right/>
      <top/>
      <bottom style="hair">
        <color auto="1"/>
      </bottom>
      <diagonal/>
    </border>
    <border>
      <left style="medium">
        <color auto="1"/>
      </left>
      <right style="medium">
        <color auto="1"/>
      </right>
      <top style="thin">
        <color auto="1"/>
      </top>
      <bottom style="thin">
        <color indexed="64"/>
      </bottom>
      <diagonal/>
    </border>
  </borders>
  <cellStyleXfs count="7">
    <xf numFmtId="0" fontId="0" fillId="0" borderId="0"/>
    <xf numFmtId="43" fontId="22" fillId="0" borderId="0" applyFont="0" applyFill="0" applyBorder="0" applyAlignment="0" applyProtection="0"/>
    <xf numFmtId="0" fontId="23" fillId="0" borderId="0" applyFill="0" applyProtection="0"/>
    <xf numFmtId="0" fontId="15" fillId="0" borderId="0"/>
    <xf numFmtId="0" fontId="17" fillId="0" borderId="0"/>
    <xf numFmtId="9" fontId="22" fillId="0" borderId="0" applyFont="0" applyFill="0" applyBorder="0" applyAlignment="0" applyProtection="0"/>
    <xf numFmtId="0" fontId="42" fillId="0" borderId="0" applyNumberFormat="0" applyFill="0" applyBorder="0" applyAlignment="0" applyProtection="0"/>
  </cellStyleXfs>
  <cellXfs count="673">
    <xf numFmtId="0" fontId="0" fillId="0" borderId="0" xfId="0"/>
    <xf numFmtId="0" fontId="13" fillId="0" borderId="0" xfId="0" applyFont="1"/>
    <xf numFmtId="0" fontId="14" fillId="0" borderId="0" xfId="0" applyFont="1"/>
    <xf numFmtId="0" fontId="20" fillId="0" borderId="0" xfId="0" applyFont="1"/>
    <xf numFmtId="0" fontId="21" fillId="6" borderId="48" xfId="0" applyFont="1" applyFill="1" applyBorder="1" applyAlignment="1">
      <alignment horizontal="center" vertical="center"/>
    </xf>
    <xf numFmtId="0" fontId="21" fillId="6" borderId="1" xfId="0" applyFont="1" applyFill="1" applyBorder="1" applyAlignment="1">
      <alignment horizontal="center" vertical="center"/>
    </xf>
    <xf numFmtId="43" fontId="0" fillId="0" borderId="0" xfId="1" applyFont="1"/>
    <xf numFmtId="0" fontId="0" fillId="3" borderId="44" xfId="0" applyFill="1" applyBorder="1" applyAlignment="1">
      <alignment horizontal="center" vertical="center"/>
    </xf>
    <xf numFmtId="0" fontId="0" fillId="0" borderId="0" xfId="0" applyAlignment="1">
      <alignment horizontal="center" vertical="center"/>
    </xf>
    <xf numFmtId="0" fontId="27" fillId="0" borderId="21" xfId="0" applyFont="1" applyBorder="1" applyAlignment="1">
      <alignment horizontal="left" vertical="top"/>
    </xf>
    <xf numFmtId="0" fontId="27" fillId="0" borderId="23" xfId="0" applyFont="1" applyBorder="1" applyAlignment="1">
      <alignment horizontal="left" vertical="top"/>
    </xf>
    <xf numFmtId="0" fontId="27" fillId="0" borderId="55" xfId="0" applyFont="1" applyBorder="1" applyAlignment="1">
      <alignment horizontal="left" vertical="top"/>
    </xf>
    <xf numFmtId="0" fontId="27" fillId="0" borderId="59" xfId="0" applyFont="1" applyBorder="1" applyAlignment="1">
      <alignment horizontal="left" vertical="top"/>
    </xf>
    <xf numFmtId="0" fontId="27" fillId="0" borderId="14" xfId="0" applyFont="1" applyBorder="1" applyAlignment="1">
      <alignment horizontal="left" vertical="top"/>
    </xf>
    <xf numFmtId="0" fontId="26" fillId="4" borderId="36" xfId="0" applyFont="1" applyFill="1" applyBorder="1" applyAlignment="1">
      <alignment vertical="center" wrapText="1"/>
    </xf>
    <xf numFmtId="0" fontId="25" fillId="4" borderId="37" xfId="0" applyFont="1" applyFill="1" applyBorder="1" applyAlignment="1">
      <alignment vertical="center" wrapText="1"/>
    </xf>
    <xf numFmtId="0" fontId="25" fillId="4" borderId="38" xfId="0" applyFont="1" applyFill="1" applyBorder="1" applyAlignment="1">
      <alignment vertical="center" wrapText="1"/>
    </xf>
    <xf numFmtId="0" fontId="25" fillId="4" borderId="39" xfId="0" applyFont="1" applyFill="1" applyBorder="1" applyAlignment="1">
      <alignment vertical="center" wrapText="1"/>
    </xf>
    <xf numFmtId="0" fontId="25" fillId="4" borderId="40" xfId="0" applyFont="1" applyFill="1" applyBorder="1" applyAlignment="1">
      <alignment vertical="center" wrapText="1"/>
    </xf>
    <xf numFmtId="0" fontId="26" fillId="4" borderId="67" xfId="0" applyFont="1" applyFill="1" applyBorder="1" applyAlignment="1">
      <alignment vertical="top" wrapText="1"/>
    </xf>
    <xf numFmtId="0" fontId="25" fillId="4" borderId="68" xfId="0" applyFont="1" applyFill="1" applyBorder="1" applyAlignment="1">
      <alignment vertical="center" wrapText="1"/>
    </xf>
    <xf numFmtId="0" fontId="26" fillId="4" borderId="40" xfId="0" applyFont="1" applyFill="1" applyBorder="1" applyAlignment="1">
      <alignment vertical="top" wrapText="1"/>
    </xf>
    <xf numFmtId="0" fontId="28" fillId="0" borderId="0" xfId="0" applyFont="1"/>
    <xf numFmtId="0" fontId="28" fillId="3" borderId="44" xfId="0" applyFont="1" applyFill="1" applyBorder="1" applyAlignment="1">
      <alignment horizontal="right"/>
    </xf>
    <xf numFmtId="0" fontId="28" fillId="3" borderId="44" xfId="0" applyFont="1" applyFill="1" applyBorder="1"/>
    <xf numFmtId="0" fontId="29" fillId="3" borderId="44" xfId="0" applyFont="1" applyFill="1" applyBorder="1"/>
    <xf numFmtId="0" fontId="29" fillId="3" borderId="44" xfId="0" applyFont="1" applyFill="1" applyBorder="1" applyAlignment="1">
      <alignment horizontal="center" vertical="center"/>
    </xf>
    <xf numFmtId="164" fontId="29" fillId="3" borderId="9" xfId="0" applyNumberFormat="1" applyFont="1" applyFill="1" applyBorder="1" applyAlignment="1">
      <alignment horizontal="center" vertical="center"/>
    </xf>
    <xf numFmtId="0" fontId="29" fillId="3" borderId="9" xfId="0" applyFont="1" applyFill="1" applyBorder="1"/>
    <xf numFmtId="0" fontId="29" fillId="0" borderId="0" xfId="0" applyFont="1"/>
    <xf numFmtId="0" fontId="29" fillId="0" borderId="0" xfId="0" applyFont="1" applyAlignment="1">
      <alignment horizontal="center" vertical="center"/>
    </xf>
    <xf numFmtId="0" fontId="11" fillId="0" borderId="0" xfId="0" applyFont="1"/>
    <xf numFmtId="0" fontId="30" fillId="0" borderId="0" xfId="0" applyFont="1" applyAlignment="1">
      <alignment horizontal="center" vertical="center" wrapText="1"/>
    </xf>
    <xf numFmtId="0" fontId="33" fillId="0" borderId="0" xfId="0" applyFont="1"/>
    <xf numFmtId="0" fontId="24" fillId="6" borderId="1" xfId="0" applyFont="1" applyFill="1" applyBorder="1" applyAlignment="1">
      <alignment horizontal="center" vertical="center"/>
    </xf>
    <xf numFmtId="0" fontId="24" fillId="6" borderId="18" xfId="0" applyFont="1" applyFill="1" applyBorder="1" applyAlignment="1">
      <alignment horizontal="center" vertical="center"/>
    </xf>
    <xf numFmtId="0" fontId="27" fillId="0" borderId="26" xfId="0" applyFont="1" applyBorder="1" applyAlignment="1">
      <alignment horizontal="left" vertical="top"/>
    </xf>
    <xf numFmtId="0" fontId="24" fillId="8" borderId="20" xfId="0" applyFont="1" applyFill="1" applyBorder="1" applyAlignment="1">
      <alignment horizontal="center" vertical="center" wrapText="1"/>
    </xf>
    <xf numFmtId="9" fontId="11" fillId="0" borderId="0" xfId="0" applyNumberFormat="1" applyFont="1"/>
    <xf numFmtId="0" fontId="24" fillId="9" borderId="20" xfId="0" applyFont="1" applyFill="1" applyBorder="1" applyAlignment="1">
      <alignment horizontal="center" vertical="center" wrapText="1"/>
    </xf>
    <xf numFmtId="0" fontId="27" fillId="0" borderId="23" xfId="0" applyFont="1" applyBorder="1" applyAlignment="1">
      <alignment horizontal="left" vertical="center"/>
    </xf>
    <xf numFmtId="0" fontId="24" fillId="10" borderId="20" xfId="0" applyFont="1" applyFill="1" applyBorder="1" applyAlignment="1">
      <alignment horizontal="center" vertical="center" wrapText="1"/>
    </xf>
    <xf numFmtId="0" fontId="27" fillId="0" borderId="59" xfId="0" applyFont="1" applyBorder="1" applyAlignment="1">
      <alignment horizontal="left" vertical="center"/>
    </xf>
    <xf numFmtId="0" fontId="0" fillId="0" borderId="0" xfId="0" applyAlignment="1">
      <alignment horizontal="left" vertical="top" wrapText="1"/>
    </xf>
    <xf numFmtId="0" fontId="32" fillId="7" borderId="2" xfId="0" applyFont="1" applyFill="1" applyBorder="1" applyAlignment="1">
      <alignment horizontal="center" vertical="center" wrapText="1"/>
    </xf>
    <xf numFmtId="0" fontId="10" fillId="0" borderId="0" xfId="0" applyFont="1"/>
    <xf numFmtId="9" fontId="0" fillId="0" borderId="0" xfId="0" applyNumberFormat="1"/>
    <xf numFmtId="166" fontId="0" fillId="7" borderId="2" xfId="0" applyNumberFormat="1" applyFill="1" applyBorder="1"/>
    <xf numFmtId="0" fontId="28" fillId="3" borderId="0" xfId="0" applyFont="1" applyFill="1" applyAlignment="1">
      <alignment horizontal="right"/>
    </xf>
    <xf numFmtId="0" fontId="28" fillId="3" borderId="0" xfId="0" applyFont="1" applyFill="1"/>
    <xf numFmtId="0" fontId="29" fillId="3" borderId="0" xfId="0" applyFont="1" applyFill="1"/>
    <xf numFmtId="0" fontId="29" fillId="3" borderId="0" xfId="0" applyFont="1" applyFill="1" applyAlignment="1">
      <alignment horizontal="center" vertical="center"/>
    </xf>
    <xf numFmtId="164" fontId="29" fillId="3" borderId="0" xfId="0" applyNumberFormat="1" applyFont="1" applyFill="1" applyAlignment="1">
      <alignment horizontal="center" vertical="center"/>
    </xf>
    <xf numFmtId="0" fontId="0" fillId="3" borderId="0" xfId="0" applyFill="1" applyAlignment="1">
      <alignment horizontal="center" vertical="center"/>
    </xf>
    <xf numFmtId="0" fontId="0" fillId="3" borderId="0" xfId="0" applyFill="1"/>
    <xf numFmtId="0" fontId="21" fillId="3" borderId="0" xfId="0" applyFont="1" applyFill="1" applyAlignment="1">
      <alignment horizontal="center" vertical="center"/>
    </xf>
    <xf numFmtId="0" fontId="24" fillId="3" borderId="0" xfId="0" applyFont="1" applyFill="1" applyAlignment="1">
      <alignment horizontal="center" vertical="center"/>
    </xf>
    <xf numFmtId="0" fontId="14" fillId="3" borderId="0" xfId="0" applyFont="1" applyFill="1"/>
    <xf numFmtId="0" fontId="27" fillId="3" borderId="0" xfId="0" applyFont="1" applyFill="1" applyAlignment="1">
      <alignment horizontal="left" vertical="top"/>
    </xf>
    <xf numFmtId="0" fontId="16" fillId="3" borderId="0" xfId="0" applyFont="1" applyFill="1" applyAlignment="1">
      <alignment horizontal="center" vertical="center"/>
    </xf>
    <xf numFmtId="165" fontId="16" fillId="3" borderId="0" xfId="1" applyNumberFormat="1" applyFont="1" applyFill="1" applyBorder="1" applyAlignment="1">
      <alignment horizontal="center" vertical="center"/>
    </xf>
    <xf numFmtId="165" fontId="16" fillId="3" borderId="0" xfId="1" applyNumberFormat="1" applyFont="1" applyFill="1" applyBorder="1" applyAlignment="1">
      <alignment horizontal="center"/>
    </xf>
    <xf numFmtId="0" fontId="31" fillId="3" borderId="0" xfId="0" applyFont="1" applyFill="1" applyAlignment="1">
      <alignment horizontal="left" vertical="top"/>
    </xf>
    <xf numFmtId="0" fontId="32" fillId="3" borderId="0" xfId="0" applyFont="1" applyFill="1" applyAlignment="1">
      <alignment horizontal="center" vertical="center"/>
    </xf>
    <xf numFmtId="165" fontId="28" fillId="3" borderId="0" xfId="1" applyNumberFormat="1" applyFont="1" applyFill="1" applyBorder="1" applyAlignment="1">
      <alignment horizontal="center" vertical="center"/>
    </xf>
    <xf numFmtId="0" fontId="24" fillId="3" borderId="0" xfId="0" applyFont="1" applyFill="1" applyAlignment="1">
      <alignment horizontal="center" vertical="center" wrapText="1"/>
    </xf>
    <xf numFmtId="0" fontId="26" fillId="11" borderId="0" xfId="0" applyFont="1" applyFill="1" applyAlignment="1">
      <alignment vertical="center" wrapText="1"/>
    </xf>
    <xf numFmtId="0" fontId="25" fillId="11" borderId="0" xfId="0" applyFont="1" applyFill="1" applyAlignment="1">
      <alignment vertical="center" wrapText="1"/>
    </xf>
    <xf numFmtId="0" fontId="26" fillId="11" borderId="0" xfId="0" applyFont="1" applyFill="1" applyAlignment="1">
      <alignment vertical="top" wrapText="1"/>
    </xf>
    <xf numFmtId="0" fontId="30" fillId="3" borderId="0" xfId="0" applyFont="1" applyFill="1" applyAlignment="1">
      <alignment horizontal="center" vertical="center" wrapText="1"/>
    </xf>
    <xf numFmtId="0" fontId="0" fillId="3" borderId="0" xfId="0" applyFill="1" applyAlignment="1">
      <alignment horizontal="left" vertical="top" wrapText="1"/>
    </xf>
    <xf numFmtId="0" fontId="32" fillId="3" borderId="0" xfId="0" applyFont="1" applyFill="1" applyAlignment="1">
      <alignment horizontal="center" vertical="center" wrapText="1"/>
    </xf>
    <xf numFmtId="166" fontId="0" fillId="3" borderId="0" xfId="0" applyNumberFormat="1" applyFill="1"/>
    <xf numFmtId="0" fontId="24" fillId="3" borderId="0" xfId="0" applyFont="1" applyFill="1" applyAlignment="1">
      <alignment vertical="center"/>
    </xf>
    <xf numFmtId="0" fontId="24" fillId="3" borderId="0" xfId="0" applyFont="1" applyFill="1" applyAlignment="1">
      <alignment vertical="center" wrapText="1"/>
    </xf>
    <xf numFmtId="0" fontId="36" fillId="3" borderId="0" xfId="0" applyFont="1" applyFill="1" applyAlignment="1">
      <alignment horizontal="left" vertical="center"/>
    </xf>
    <xf numFmtId="0" fontId="25" fillId="3" borderId="0" xfId="0" applyFont="1" applyFill="1" applyAlignment="1">
      <alignment vertical="center" wrapText="1"/>
    </xf>
    <xf numFmtId="0" fontId="26" fillId="3" borderId="0" xfId="0" applyFont="1" applyFill="1" applyAlignment="1">
      <alignment vertical="top" wrapText="1"/>
    </xf>
    <xf numFmtId="0" fontId="26" fillId="3" borderId="0" xfId="0" applyFont="1" applyFill="1" applyAlignment="1">
      <alignment vertical="center" wrapText="1"/>
    </xf>
    <xf numFmtId="0" fontId="37" fillId="3" borderId="2" xfId="0" applyFont="1" applyFill="1" applyBorder="1" applyAlignment="1">
      <alignment horizontal="center" vertical="center"/>
    </xf>
    <xf numFmtId="3" fontId="38" fillId="3" borderId="2" xfId="0" applyNumberFormat="1" applyFont="1" applyFill="1" applyBorder="1" applyAlignment="1">
      <alignment horizontal="center" vertical="center"/>
    </xf>
    <xf numFmtId="9" fontId="38" fillId="3" borderId="2" xfId="5" applyFont="1" applyFill="1" applyBorder="1" applyAlignment="1">
      <alignment horizontal="center" vertical="center"/>
    </xf>
    <xf numFmtId="3" fontId="38" fillId="0" borderId="2" xfId="0" applyNumberFormat="1" applyFont="1" applyBorder="1" applyAlignment="1">
      <alignment horizontal="center" vertical="center"/>
    </xf>
    <xf numFmtId="0" fontId="39" fillId="3" borderId="69" xfId="0" applyFont="1" applyFill="1" applyBorder="1" applyAlignment="1">
      <alignment horizontal="center" vertical="center"/>
    </xf>
    <xf numFmtId="0" fontId="0" fillId="0" borderId="70" xfId="0" applyBorder="1"/>
    <xf numFmtId="0" fontId="39" fillId="3" borderId="63" xfId="0" applyFont="1" applyFill="1" applyBorder="1" applyAlignment="1">
      <alignment horizontal="center" vertical="center"/>
    </xf>
    <xf numFmtId="9" fontId="37" fillId="3" borderId="2" xfId="5" applyFont="1" applyFill="1" applyBorder="1" applyAlignment="1">
      <alignment horizontal="center" vertical="center"/>
    </xf>
    <xf numFmtId="9" fontId="38" fillId="0" borderId="2" xfId="5" applyFont="1" applyFill="1" applyBorder="1" applyAlignment="1">
      <alignment horizontal="center" vertical="center"/>
    </xf>
    <xf numFmtId="0" fontId="32" fillId="7" borderId="1" xfId="0" applyFont="1" applyFill="1" applyBorder="1" applyAlignment="1">
      <alignment horizontal="center" vertical="center" wrapText="1"/>
    </xf>
    <xf numFmtId="0" fontId="32" fillId="7" borderId="4" xfId="0" applyFont="1" applyFill="1" applyBorder="1" applyAlignment="1">
      <alignment horizontal="center" vertical="center" wrapText="1"/>
    </xf>
    <xf numFmtId="1" fontId="14" fillId="0" borderId="0" xfId="0" applyNumberFormat="1" applyFont="1"/>
    <xf numFmtId="0" fontId="37" fillId="0" borderId="2" xfId="0" applyFont="1" applyBorder="1" applyAlignment="1">
      <alignment horizontal="center" vertical="center"/>
    </xf>
    <xf numFmtId="166" fontId="0" fillId="7" borderId="0" xfId="0" applyNumberFormat="1" applyFill="1"/>
    <xf numFmtId="0" fontId="32" fillId="7" borderId="7" xfId="0" applyFont="1" applyFill="1" applyBorder="1" applyAlignment="1">
      <alignment horizontal="center" vertical="center" wrapText="1"/>
    </xf>
    <xf numFmtId="0" fontId="32" fillId="7" borderId="51" xfId="0" applyFont="1" applyFill="1" applyBorder="1" applyAlignment="1">
      <alignment horizontal="center" vertical="center" wrapText="1"/>
    </xf>
    <xf numFmtId="0" fontId="32" fillId="7" borderId="61" xfId="0" applyFont="1" applyFill="1" applyBorder="1" applyAlignment="1">
      <alignment horizontal="center" vertical="center" wrapText="1"/>
    </xf>
    <xf numFmtId="166" fontId="0" fillId="7" borderId="1" xfId="0" applyNumberFormat="1" applyFill="1" applyBorder="1"/>
    <xf numFmtId="43" fontId="0" fillId="7" borderId="4" xfId="1" applyFont="1" applyFill="1" applyBorder="1"/>
    <xf numFmtId="0" fontId="32" fillId="7" borderId="0" xfId="0" applyFont="1" applyFill="1" applyAlignment="1">
      <alignment horizontal="center" vertical="center" wrapText="1"/>
    </xf>
    <xf numFmtId="0" fontId="41" fillId="0" borderId="0" xfId="0" applyFont="1"/>
    <xf numFmtId="1" fontId="41" fillId="0" borderId="0" xfId="0" applyNumberFormat="1" applyFont="1"/>
    <xf numFmtId="0" fontId="28" fillId="3" borderId="0" xfId="0" applyFont="1" applyFill="1" applyAlignment="1">
      <alignment vertical="center" wrapText="1"/>
    </xf>
    <xf numFmtId="0" fontId="28" fillId="2" borderId="0" xfId="0" applyFont="1" applyFill="1" applyAlignment="1">
      <alignment horizontal="center" vertical="center"/>
    </xf>
    <xf numFmtId="0" fontId="28" fillId="3" borderId="2" xfId="0" applyFont="1" applyFill="1" applyBorder="1" applyAlignment="1">
      <alignment horizontal="center" vertical="center"/>
    </xf>
    <xf numFmtId="0" fontId="43" fillId="10" borderId="2" xfId="6" applyFont="1" applyFill="1" applyBorder="1" applyAlignment="1">
      <alignment horizontal="left" vertical="center"/>
    </xf>
    <xf numFmtId="0" fontId="42" fillId="3" borderId="2" xfId="6" applyFill="1" applyBorder="1" applyAlignment="1">
      <alignment horizontal="center" vertical="center" wrapText="1"/>
    </xf>
    <xf numFmtId="0" fontId="29" fillId="2" borderId="2" xfId="0" applyFont="1" applyFill="1" applyBorder="1" applyAlignment="1" applyProtection="1">
      <alignment horizontal="left" vertical="center"/>
      <protection locked="0"/>
    </xf>
    <xf numFmtId="165" fontId="16" fillId="2" borderId="50" xfId="1" applyNumberFormat="1" applyFont="1" applyFill="1" applyBorder="1" applyAlignment="1" applyProtection="1">
      <alignment horizontal="center" vertical="center"/>
      <protection locked="0"/>
    </xf>
    <xf numFmtId="165" fontId="16" fillId="2" borderId="49" xfId="1" applyNumberFormat="1" applyFont="1" applyFill="1" applyBorder="1" applyAlignment="1" applyProtection="1">
      <alignment horizontal="center" vertical="center"/>
      <protection locked="0"/>
    </xf>
    <xf numFmtId="165" fontId="16" fillId="2" borderId="4" xfId="1" applyNumberFormat="1" applyFont="1" applyFill="1" applyBorder="1" applyAlignment="1" applyProtection="1">
      <alignment horizontal="center" vertical="center"/>
      <protection locked="0"/>
    </xf>
    <xf numFmtId="165" fontId="16" fillId="2" borderId="52" xfId="1" applyNumberFormat="1" applyFont="1" applyFill="1" applyBorder="1" applyAlignment="1" applyProtection="1">
      <alignment horizontal="center" vertical="center"/>
      <protection locked="0"/>
    </xf>
    <xf numFmtId="165" fontId="16" fillId="2" borderId="51" xfId="1" applyNumberFormat="1" applyFont="1" applyFill="1" applyBorder="1" applyAlignment="1" applyProtection="1">
      <alignment horizontal="center" vertical="center"/>
      <protection locked="0"/>
    </xf>
    <xf numFmtId="165" fontId="16" fillId="2" borderId="3" xfId="1" applyNumberFormat="1" applyFont="1" applyFill="1" applyBorder="1" applyAlignment="1" applyProtection="1">
      <alignment horizontal="center"/>
      <protection locked="0"/>
    </xf>
    <xf numFmtId="165" fontId="16" fillId="2" borderId="60" xfId="1" applyNumberFormat="1" applyFont="1" applyFill="1" applyBorder="1" applyAlignment="1" applyProtection="1">
      <alignment horizontal="center" vertical="center"/>
      <protection locked="0"/>
    </xf>
    <xf numFmtId="0" fontId="39" fillId="2" borderId="63" xfId="0" applyFont="1" applyFill="1" applyBorder="1" applyAlignment="1" applyProtection="1">
      <alignment horizontal="center" vertical="center"/>
      <protection locked="0"/>
    </xf>
    <xf numFmtId="0" fontId="42" fillId="12" borderId="2" xfId="6" applyFill="1" applyBorder="1" applyAlignment="1">
      <alignment horizontal="left" vertical="center"/>
    </xf>
    <xf numFmtId="0" fontId="42" fillId="13" borderId="2" xfId="6" applyFill="1" applyBorder="1" applyAlignment="1">
      <alignment horizontal="left" vertical="center"/>
    </xf>
    <xf numFmtId="0" fontId="42" fillId="14" borderId="2" xfId="6" applyFill="1" applyBorder="1" applyAlignment="1">
      <alignment horizontal="left" vertical="center"/>
    </xf>
    <xf numFmtId="0" fontId="42" fillId="15" borderId="2" xfId="6" applyFill="1" applyBorder="1" applyAlignment="1">
      <alignment horizontal="left" vertical="center"/>
    </xf>
    <xf numFmtId="0" fontId="29" fillId="0" borderId="2" xfId="0" applyFont="1" applyBorder="1"/>
    <xf numFmtId="0" fontId="0" fillId="0" borderId="0" xfId="0" applyAlignment="1">
      <alignment vertical="center"/>
    </xf>
    <xf numFmtId="0" fontId="46" fillId="0" borderId="0" xfId="0" applyFont="1" applyAlignment="1">
      <alignment vertical="center"/>
    </xf>
    <xf numFmtId="0" fontId="24" fillId="6" borderId="17" xfId="0" applyFont="1" applyFill="1" applyBorder="1" applyAlignment="1">
      <alignment horizontal="center" vertical="center"/>
    </xf>
    <xf numFmtId="0" fontId="24" fillId="15" borderId="20" xfId="0" applyFont="1" applyFill="1" applyBorder="1" applyAlignment="1">
      <alignment horizontal="center" vertical="center" wrapText="1"/>
    </xf>
    <xf numFmtId="0" fontId="24" fillId="16" borderId="20" xfId="0" applyFont="1" applyFill="1" applyBorder="1" applyAlignment="1">
      <alignment horizontal="center" vertical="center" wrapText="1"/>
    </xf>
    <xf numFmtId="0" fontId="25" fillId="4" borderId="36" xfId="0" applyFont="1" applyFill="1" applyBorder="1" applyAlignment="1">
      <alignment vertical="center" wrapText="1"/>
    </xf>
    <xf numFmtId="0" fontId="24" fillId="6" borderId="0" xfId="0" applyFont="1" applyFill="1" applyAlignment="1">
      <alignment horizontal="center" vertical="center" wrapText="1"/>
    </xf>
    <xf numFmtId="0" fontId="25" fillId="4" borderId="81" xfId="0" applyFont="1" applyFill="1" applyBorder="1" applyAlignment="1">
      <alignment vertical="center" wrapText="1"/>
    </xf>
    <xf numFmtId="0" fontId="24" fillId="6" borderId="17" xfId="0" applyFont="1" applyFill="1" applyBorder="1" applyAlignment="1">
      <alignment vertical="center"/>
    </xf>
    <xf numFmtId="0" fontId="24" fillId="6" borderId="0" xfId="0" applyFont="1" applyFill="1" applyAlignment="1">
      <alignment vertical="center"/>
    </xf>
    <xf numFmtId="0" fontId="24" fillId="6" borderId="18" xfId="0" applyFont="1" applyFill="1" applyBorder="1" applyAlignment="1">
      <alignment vertical="center" wrapText="1"/>
    </xf>
    <xf numFmtId="0" fontId="24" fillId="6" borderId="65" xfId="0" applyFont="1" applyFill="1" applyBorder="1" applyAlignment="1">
      <alignment vertical="center" wrapText="1"/>
    </xf>
    <xf numFmtId="0" fontId="46" fillId="0" borderId="0" xfId="0" applyFont="1" applyAlignment="1">
      <alignment horizontal="center" vertical="center" wrapText="1"/>
    </xf>
    <xf numFmtId="14" fontId="8" fillId="0" borderId="2" xfId="0" applyNumberFormat="1" applyFont="1" applyBorder="1" applyAlignment="1">
      <alignment horizontal="left"/>
    </xf>
    <xf numFmtId="0" fontId="38" fillId="16" borderId="72" xfId="0" applyFont="1" applyFill="1" applyBorder="1" applyAlignment="1">
      <alignment horizontal="center" vertical="center" wrapText="1"/>
    </xf>
    <xf numFmtId="0" fontId="38" fillId="16" borderId="1" xfId="0" applyFont="1" applyFill="1" applyBorder="1" applyAlignment="1">
      <alignment horizontal="center" vertical="center" wrapText="1"/>
    </xf>
    <xf numFmtId="0" fontId="38" fillId="15" borderId="1" xfId="0" applyFont="1" applyFill="1" applyBorder="1" applyAlignment="1">
      <alignment horizontal="center" vertical="center" wrapText="1"/>
    </xf>
    <xf numFmtId="0" fontId="38" fillId="13" borderId="3" xfId="0" applyFont="1" applyFill="1" applyBorder="1" applyAlignment="1">
      <alignment horizontal="center" vertical="center" wrapText="1"/>
    </xf>
    <xf numFmtId="0" fontId="38" fillId="14" borderId="3" xfId="0" applyFont="1" applyFill="1" applyBorder="1" applyAlignment="1">
      <alignment horizontal="center" vertical="center" wrapText="1"/>
    </xf>
    <xf numFmtId="0" fontId="38" fillId="15" borderId="4" xfId="0" applyFont="1" applyFill="1" applyBorder="1" applyAlignment="1">
      <alignment horizontal="center" vertical="center" wrapText="1"/>
    </xf>
    <xf numFmtId="0" fontId="38" fillId="15" borderId="2" xfId="0" applyFont="1" applyFill="1" applyBorder="1" applyAlignment="1">
      <alignment horizontal="center" vertical="center" wrapText="1"/>
    </xf>
    <xf numFmtId="0" fontId="38" fillId="13" borderId="1" xfId="0" applyFont="1" applyFill="1" applyBorder="1" applyAlignment="1">
      <alignment horizontal="center" vertical="center" wrapText="1"/>
    </xf>
    <xf numFmtId="0" fontId="38" fillId="13" borderId="2" xfId="0" applyFont="1" applyFill="1" applyBorder="1" applyAlignment="1">
      <alignment horizontal="center" vertical="center" wrapText="1"/>
    </xf>
    <xf numFmtId="0" fontId="38" fillId="14" borderId="1" xfId="0" applyFont="1" applyFill="1" applyBorder="1" applyAlignment="1">
      <alignment horizontal="center" vertical="center" wrapText="1"/>
    </xf>
    <xf numFmtId="0" fontId="38" fillId="12" borderId="72" xfId="0" applyFont="1" applyFill="1" applyBorder="1" applyAlignment="1">
      <alignment horizontal="center" vertical="center" wrapText="1"/>
    </xf>
    <xf numFmtId="0" fontId="38" fillId="12" borderId="1" xfId="0" applyFont="1" applyFill="1" applyBorder="1" applyAlignment="1">
      <alignment horizontal="center" vertical="center" wrapText="1"/>
    </xf>
    <xf numFmtId="0" fontId="38" fillId="12" borderId="2" xfId="0" applyFont="1" applyFill="1" applyBorder="1" applyAlignment="1">
      <alignment horizontal="center" vertical="center" wrapText="1"/>
    </xf>
    <xf numFmtId="0" fontId="38" fillId="12" borderId="71" xfId="0" applyFont="1" applyFill="1" applyBorder="1" applyAlignment="1">
      <alignment horizontal="center" vertical="center" wrapText="1"/>
    </xf>
    <xf numFmtId="0" fontId="38" fillId="14" borderId="2" xfId="0" applyFont="1" applyFill="1" applyBorder="1" applyAlignment="1">
      <alignment horizontal="center" vertical="center" wrapText="1"/>
    </xf>
    <xf numFmtId="0" fontId="45" fillId="12" borderId="22" xfId="0" applyFont="1" applyFill="1" applyBorder="1" applyAlignment="1">
      <alignment horizontal="left" vertical="center" wrapText="1"/>
    </xf>
    <xf numFmtId="0" fontId="45" fillId="12" borderId="62" xfId="0" applyFont="1" applyFill="1" applyBorder="1" applyAlignment="1">
      <alignment horizontal="left" vertical="center" wrapText="1"/>
    </xf>
    <xf numFmtId="0" fontId="45" fillId="12" borderId="75" xfId="0" applyFont="1" applyFill="1" applyBorder="1" applyAlignment="1">
      <alignment horizontal="left" vertical="center" wrapText="1"/>
    </xf>
    <xf numFmtId="0" fontId="45" fillId="13" borderId="24" xfId="0" applyFont="1" applyFill="1" applyBorder="1" applyAlignment="1">
      <alignment horizontal="left" vertical="center" wrapText="1"/>
    </xf>
    <xf numFmtId="0" fontId="45" fillId="13" borderId="75" xfId="0" applyFont="1" applyFill="1" applyBorder="1" applyAlignment="1">
      <alignment horizontal="left" vertical="center" wrapText="1"/>
    </xf>
    <xf numFmtId="0" fontId="45" fillId="13" borderId="62" xfId="0" applyFont="1" applyFill="1" applyBorder="1" applyAlignment="1">
      <alignment horizontal="left" vertical="center" wrapText="1"/>
    </xf>
    <xf numFmtId="0" fontId="45" fillId="14" borderId="24" xfId="0" applyFont="1" applyFill="1" applyBorder="1" applyAlignment="1">
      <alignment horizontal="left" vertical="center" wrapText="1"/>
    </xf>
    <xf numFmtId="0" fontId="45" fillId="14" borderId="75" xfId="0" applyFont="1" applyFill="1" applyBorder="1" applyAlignment="1">
      <alignment horizontal="left" vertical="center" wrapText="1"/>
    </xf>
    <xf numFmtId="0" fontId="45" fillId="15" borderId="24" xfId="0" applyFont="1" applyFill="1" applyBorder="1" applyAlignment="1">
      <alignment horizontal="left" vertical="center" wrapText="1"/>
    </xf>
    <xf numFmtId="0" fontId="45" fillId="15" borderId="75" xfId="0" applyFont="1" applyFill="1" applyBorder="1" applyAlignment="1">
      <alignment horizontal="left" vertical="center" wrapText="1"/>
    </xf>
    <xf numFmtId="0" fontId="45" fillId="15" borderId="62" xfId="0" applyFont="1" applyFill="1" applyBorder="1" applyAlignment="1">
      <alignment horizontal="left" vertical="center" wrapText="1"/>
    </xf>
    <xf numFmtId="0" fontId="45" fillId="16" borderId="22" xfId="0" applyFont="1" applyFill="1" applyBorder="1" applyAlignment="1">
      <alignment horizontal="left" vertical="center" wrapText="1"/>
    </xf>
    <xf numFmtId="0" fontId="45" fillId="16" borderId="75" xfId="0" applyFont="1" applyFill="1" applyBorder="1" applyAlignment="1">
      <alignment horizontal="left" vertical="center" wrapText="1"/>
    </xf>
    <xf numFmtId="0" fontId="38" fillId="15" borderId="50" xfId="0" applyFont="1" applyFill="1" applyBorder="1" applyAlignment="1">
      <alignment horizontal="center" vertical="center" wrapText="1"/>
    </xf>
    <xf numFmtId="0" fontId="38" fillId="16" borderId="2" xfId="0" applyFont="1" applyFill="1" applyBorder="1" applyAlignment="1">
      <alignment horizontal="center" vertical="center" wrapText="1"/>
    </xf>
    <xf numFmtId="0" fontId="45" fillId="16" borderId="62" xfId="0" applyFont="1" applyFill="1" applyBorder="1" applyAlignment="1">
      <alignment horizontal="left" vertical="center" wrapText="1"/>
    </xf>
    <xf numFmtId="0" fontId="45" fillId="14" borderId="62" xfId="0" applyFont="1" applyFill="1" applyBorder="1" applyAlignment="1">
      <alignment horizontal="left" vertical="center" wrapText="1"/>
    </xf>
    <xf numFmtId="0" fontId="38" fillId="16" borderId="71" xfId="0" applyFont="1" applyFill="1" applyBorder="1" applyAlignment="1">
      <alignment horizontal="center" vertical="center" wrapText="1"/>
    </xf>
    <xf numFmtId="0" fontId="45" fillId="16" borderId="84" xfId="0" applyFont="1" applyFill="1" applyBorder="1" applyAlignment="1">
      <alignment horizontal="left" vertical="center" wrapText="1"/>
    </xf>
    <xf numFmtId="0" fontId="38" fillId="13" borderId="50" xfId="0" applyFont="1" applyFill="1" applyBorder="1" applyAlignment="1">
      <alignment horizontal="center" vertical="center" wrapText="1"/>
    </xf>
    <xf numFmtId="0" fontId="45" fillId="13" borderId="49" xfId="0" applyFont="1" applyFill="1" applyBorder="1" applyAlignment="1">
      <alignment horizontal="left" vertical="center" wrapText="1"/>
    </xf>
    <xf numFmtId="0" fontId="38" fillId="13" borderId="71" xfId="0" applyFont="1" applyFill="1" applyBorder="1" applyAlignment="1">
      <alignment horizontal="center" vertical="center" wrapText="1"/>
    </xf>
    <xf numFmtId="0" fontId="45" fillId="13" borderId="84" xfId="0" applyFont="1" applyFill="1" applyBorder="1" applyAlignment="1">
      <alignment horizontal="left" vertical="center" wrapText="1"/>
    </xf>
    <xf numFmtId="0" fontId="45" fillId="12" borderId="84" xfId="0" applyFont="1" applyFill="1" applyBorder="1" applyAlignment="1">
      <alignment horizontal="left" vertical="center" wrapText="1"/>
    </xf>
    <xf numFmtId="0" fontId="38" fillId="14" borderId="50" xfId="0" applyFont="1" applyFill="1" applyBorder="1" applyAlignment="1">
      <alignment horizontal="center" vertical="center" wrapText="1"/>
    </xf>
    <xf numFmtId="0" fontId="45" fillId="14" borderId="49" xfId="0" applyFont="1" applyFill="1" applyBorder="1" applyAlignment="1">
      <alignment horizontal="left" vertical="center" wrapText="1"/>
    </xf>
    <xf numFmtId="0" fontId="45" fillId="15" borderId="49" xfId="0" applyFont="1" applyFill="1" applyBorder="1" applyAlignment="1">
      <alignment horizontal="left" vertical="center" wrapText="1"/>
    </xf>
    <xf numFmtId="0" fontId="38" fillId="15" borderId="71" xfId="0" applyFont="1" applyFill="1" applyBorder="1" applyAlignment="1">
      <alignment horizontal="center" vertical="center" wrapText="1"/>
    </xf>
    <xf numFmtId="0" fontId="45" fillId="15" borderId="84" xfId="0" applyFont="1" applyFill="1" applyBorder="1" applyAlignment="1">
      <alignment horizontal="left" vertical="center" wrapText="1"/>
    </xf>
    <xf numFmtId="0" fontId="7" fillId="0" borderId="49" xfId="0" applyFont="1" applyBorder="1" applyAlignment="1">
      <alignment horizontal="center" vertical="center"/>
    </xf>
    <xf numFmtId="0" fontId="50" fillId="7" borderId="14" xfId="0" applyFont="1" applyFill="1" applyBorder="1" applyAlignment="1">
      <alignment horizontal="left" vertical="top"/>
    </xf>
    <xf numFmtId="0" fontId="27" fillId="0" borderId="2" xfId="0" applyFont="1" applyBorder="1" applyAlignment="1">
      <alignment horizontal="left" vertical="top"/>
    </xf>
    <xf numFmtId="0" fontId="50" fillId="7" borderId="59" xfId="0" applyFont="1" applyFill="1" applyBorder="1" applyAlignment="1">
      <alignment horizontal="left" vertical="top"/>
    </xf>
    <xf numFmtId="0" fontId="26" fillId="4" borderId="67" xfId="0" applyFont="1" applyFill="1" applyBorder="1" applyAlignment="1">
      <alignment vertical="center" wrapText="1"/>
    </xf>
    <xf numFmtId="0" fontId="26" fillId="4" borderId="70" xfId="0" applyFont="1" applyFill="1" applyBorder="1" applyAlignment="1">
      <alignment vertical="top" wrapText="1"/>
    </xf>
    <xf numFmtId="0" fontId="27" fillId="0" borderId="55" xfId="0" applyFont="1" applyBorder="1" applyAlignment="1">
      <alignment horizontal="left" vertical="center"/>
    </xf>
    <xf numFmtId="0" fontId="27" fillId="0" borderId="2" xfId="0" applyFont="1" applyBorder="1" applyAlignment="1">
      <alignment horizontal="left" vertical="center"/>
    </xf>
    <xf numFmtId="0" fontId="50" fillId="7" borderId="26" xfId="0" applyFont="1" applyFill="1" applyBorder="1" applyAlignment="1">
      <alignment horizontal="left" vertical="top"/>
    </xf>
    <xf numFmtId="0" fontId="27" fillId="0" borderId="8" xfId="0" applyFont="1" applyBorder="1" applyAlignment="1">
      <alignment horizontal="left" vertical="center"/>
    </xf>
    <xf numFmtId="0" fontId="27" fillId="0" borderId="26" xfId="0" applyFont="1" applyBorder="1" applyAlignment="1">
      <alignment horizontal="left" vertical="center"/>
    </xf>
    <xf numFmtId="0" fontId="7" fillId="0" borderId="62" xfId="0" applyFont="1" applyBorder="1" applyAlignment="1">
      <alignment horizontal="center" vertical="center"/>
    </xf>
    <xf numFmtId="0" fontId="7" fillId="0" borderId="52" xfId="0" applyFont="1" applyBorder="1" applyAlignment="1">
      <alignment horizontal="center" vertical="center"/>
    </xf>
    <xf numFmtId="0" fontId="7" fillId="0" borderId="58" xfId="0" applyFont="1" applyBorder="1" applyAlignment="1">
      <alignment horizontal="center" vertical="center"/>
    </xf>
    <xf numFmtId="0" fontId="7" fillId="0" borderId="54" xfId="0" applyFont="1" applyBorder="1" applyAlignment="1">
      <alignment horizontal="center" vertical="center"/>
    </xf>
    <xf numFmtId="0" fontId="7" fillId="0" borderId="24" xfId="0" applyFont="1" applyBorder="1" applyAlignment="1">
      <alignment horizontal="center" vertical="center"/>
    </xf>
    <xf numFmtId="0" fontId="7" fillId="0" borderId="87" xfId="0" applyFont="1" applyBorder="1" applyAlignment="1">
      <alignment horizontal="center" vertical="center"/>
    </xf>
    <xf numFmtId="165" fontId="16" fillId="2" borderId="59" xfId="1" applyNumberFormat="1" applyFont="1" applyFill="1" applyBorder="1" applyAlignment="1" applyProtection="1">
      <alignment horizontal="center" vertical="center"/>
      <protection locked="0"/>
    </xf>
    <xf numFmtId="0" fontId="7" fillId="0" borderId="75" xfId="0" applyFont="1" applyBorder="1" applyAlignment="1">
      <alignment horizontal="center" vertical="center"/>
    </xf>
    <xf numFmtId="0" fontId="21" fillId="6" borderId="17" xfId="0" applyFont="1" applyFill="1" applyBorder="1" applyAlignment="1">
      <alignment horizontal="center" vertical="center"/>
    </xf>
    <xf numFmtId="165" fontId="16" fillId="2" borderId="91" xfId="1" applyNumberFormat="1" applyFont="1" applyFill="1" applyBorder="1" applyAlignment="1" applyProtection="1">
      <alignment horizontal="center" vertical="center"/>
      <protection locked="0"/>
    </xf>
    <xf numFmtId="0" fontId="26" fillId="4" borderId="92" xfId="0" applyFont="1" applyFill="1" applyBorder="1" applyAlignment="1">
      <alignment vertical="top" wrapText="1"/>
    </xf>
    <xf numFmtId="0" fontId="27" fillId="0" borderId="14" xfId="0" applyFont="1" applyBorder="1" applyAlignment="1">
      <alignment horizontal="left" vertical="center" wrapText="1"/>
    </xf>
    <xf numFmtId="0" fontId="27" fillId="0" borderId="55" xfId="0" applyFont="1" applyBorder="1" applyAlignment="1">
      <alignment horizontal="left" vertical="center" wrapText="1"/>
    </xf>
    <xf numFmtId="0" fontId="28" fillId="7" borderId="58" xfId="0" applyFont="1" applyFill="1" applyBorder="1" applyAlignment="1">
      <alignment horizontal="center" vertical="center"/>
    </xf>
    <xf numFmtId="0" fontId="7" fillId="0" borderId="5" xfId="0" applyFont="1" applyBorder="1" applyAlignment="1">
      <alignment horizontal="center" vertical="center"/>
    </xf>
    <xf numFmtId="0" fontId="28" fillId="7" borderId="93" xfId="0" applyFont="1" applyFill="1" applyBorder="1" applyAlignment="1">
      <alignment horizontal="center" vertical="center"/>
    </xf>
    <xf numFmtId="0" fontId="7" fillId="0" borderId="94" xfId="0" applyFont="1" applyBorder="1" applyAlignment="1">
      <alignment horizontal="center" vertical="center"/>
    </xf>
    <xf numFmtId="0" fontId="7" fillId="0" borderId="0" xfId="0" applyFont="1" applyAlignment="1">
      <alignment horizontal="center" vertical="center"/>
    </xf>
    <xf numFmtId="0" fontId="27" fillId="0" borderId="32" xfId="0" applyFont="1" applyBorder="1" applyAlignment="1">
      <alignment horizontal="left" vertical="center"/>
    </xf>
    <xf numFmtId="165" fontId="16" fillId="2" borderId="87" xfId="1" applyNumberFormat="1" applyFont="1" applyFill="1" applyBorder="1" applyAlignment="1" applyProtection="1">
      <alignment horizontal="center" vertical="center"/>
      <protection locked="0"/>
    </xf>
    <xf numFmtId="165" fontId="16" fillId="2" borderId="97" xfId="1" applyNumberFormat="1" applyFont="1" applyFill="1" applyBorder="1" applyAlignment="1" applyProtection="1">
      <alignment horizontal="center"/>
      <protection locked="0"/>
    </xf>
    <xf numFmtId="0" fontId="7" fillId="0" borderId="64" xfId="0" applyFont="1" applyBorder="1" applyAlignment="1">
      <alignment horizontal="center" vertical="center"/>
    </xf>
    <xf numFmtId="0" fontId="21" fillId="6" borderId="18" xfId="0" applyFont="1" applyFill="1" applyBorder="1" applyAlignment="1">
      <alignment horizontal="center" vertical="center"/>
    </xf>
    <xf numFmtId="0" fontId="51" fillId="17" borderId="3" xfId="0" applyFont="1" applyFill="1" applyBorder="1" applyAlignment="1">
      <alignment vertical="center"/>
    </xf>
    <xf numFmtId="0" fontId="51" fillId="17" borderId="33" xfId="0" applyFont="1" applyFill="1" applyBorder="1" applyAlignment="1">
      <alignment vertical="center"/>
    </xf>
    <xf numFmtId="0" fontId="51" fillId="17" borderId="28" xfId="0" applyFont="1" applyFill="1" applyBorder="1" applyAlignment="1">
      <alignment vertical="center"/>
    </xf>
    <xf numFmtId="0" fontId="51" fillId="17" borderId="14" xfId="0" applyFont="1" applyFill="1" applyBorder="1" applyAlignment="1">
      <alignment vertical="center"/>
    </xf>
    <xf numFmtId="0" fontId="24" fillId="6" borderId="42" xfId="0" applyFont="1" applyFill="1" applyBorder="1" applyAlignment="1">
      <alignment vertical="center"/>
    </xf>
    <xf numFmtId="0" fontId="51" fillId="17" borderId="76" xfId="0" applyFont="1" applyFill="1" applyBorder="1" applyAlignment="1">
      <alignment vertical="center"/>
    </xf>
    <xf numFmtId="0" fontId="51" fillId="17" borderId="15" xfId="0" applyFont="1" applyFill="1" applyBorder="1" applyAlignment="1">
      <alignment vertical="center"/>
    </xf>
    <xf numFmtId="0" fontId="60" fillId="17" borderId="3" xfId="0" applyFont="1" applyFill="1" applyBorder="1" applyAlignment="1">
      <alignment vertical="center"/>
    </xf>
    <xf numFmtId="0" fontId="60" fillId="17" borderId="33" xfId="0" applyFont="1" applyFill="1" applyBorder="1" applyAlignment="1">
      <alignment vertical="center"/>
    </xf>
    <xf numFmtId="0" fontId="27" fillId="4" borderId="37" xfId="0" applyFont="1" applyFill="1" applyBorder="1" applyAlignment="1">
      <alignment vertical="center" wrapText="1"/>
    </xf>
    <xf numFmtId="0" fontId="27" fillId="4" borderId="81" xfId="0" applyFont="1" applyFill="1" applyBorder="1" applyAlignment="1">
      <alignment vertical="center" wrapText="1"/>
    </xf>
    <xf numFmtId="0" fontId="27" fillId="4" borderId="38" xfId="0" applyFont="1" applyFill="1" applyBorder="1" applyAlignment="1">
      <alignment vertical="center" wrapText="1"/>
    </xf>
    <xf numFmtId="0" fontId="27" fillId="4" borderId="39" xfId="0" applyFont="1" applyFill="1" applyBorder="1" applyAlignment="1">
      <alignment vertical="center" wrapText="1"/>
    </xf>
    <xf numFmtId="0" fontId="60" fillId="17" borderId="34" xfId="0" applyFont="1" applyFill="1" applyBorder="1" applyAlignment="1">
      <alignment vertical="center"/>
    </xf>
    <xf numFmtId="0" fontId="60" fillId="17" borderId="28" xfId="0" applyFont="1" applyFill="1" applyBorder="1" applyAlignment="1">
      <alignment vertical="center"/>
    </xf>
    <xf numFmtId="0" fontId="60" fillId="17" borderId="14" xfId="0" applyFont="1" applyFill="1" applyBorder="1" applyAlignment="1">
      <alignment vertical="center"/>
    </xf>
    <xf numFmtId="0" fontId="27" fillId="4" borderId="73" xfId="0" applyFont="1" applyFill="1" applyBorder="1" applyAlignment="1">
      <alignment vertical="center" wrapText="1"/>
    </xf>
    <xf numFmtId="0" fontId="27" fillId="4" borderId="99" xfId="0" applyFont="1" applyFill="1" applyBorder="1" applyAlignment="1">
      <alignment vertical="center" wrapText="1"/>
    </xf>
    <xf numFmtId="0" fontId="27" fillId="4" borderId="74" xfId="0" applyFont="1" applyFill="1" applyBorder="1" applyAlignment="1">
      <alignment vertical="center" wrapText="1"/>
    </xf>
    <xf numFmtId="0" fontId="27" fillId="4" borderId="47" xfId="0" applyFont="1" applyFill="1" applyBorder="1" applyAlignment="1">
      <alignment vertical="center" wrapText="1"/>
    </xf>
    <xf numFmtId="0" fontId="60" fillId="17" borderId="24" xfId="0" applyFont="1" applyFill="1" applyBorder="1" applyAlignment="1">
      <alignment vertical="center"/>
    </xf>
    <xf numFmtId="0" fontId="7" fillId="0" borderId="105" xfId="0" applyFont="1" applyBorder="1" applyAlignment="1">
      <alignment horizontal="center" vertical="center"/>
    </xf>
    <xf numFmtId="0" fontId="7" fillId="0" borderId="15" xfId="0" applyFont="1" applyBorder="1" applyAlignment="1">
      <alignment horizontal="center" vertical="center"/>
    </xf>
    <xf numFmtId="0" fontId="28" fillId="7" borderId="15" xfId="0" applyFont="1" applyFill="1" applyBorder="1" applyAlignment="1">
      <alignment horizontal="center" vertical="center"/>
    </xf>
    <xf numFmtId="0" fontId="7" fillId="0" borderId="93" xfId="0" applyFont="1" applyBorder="1" applyAlignment="1">
      <alignment horizontal="center" vertical="center"/>
    </xf>
    <xf numFmtId="0" fontId="21" fillId="6" borderId="16" xfId="0" applyFont="1" applyFill="1" applyBorder="1" applyAlignment="1">
      <alignment horizontal="center" vertical="center"/>
    </xf>
    <xf numFmtId="165" fontId="16" fillId="2" borderId="21" xfId="1" applyNumberFormat="1" applyFont="1" applyFill="1" applyBorder="1" applyAlignment="1" applyProtection="1">
      <alignment horizontal="center" vertical="center"/>
      <protection locked="0"/>
    </xf>
    <xf numFmtId="165" fontId="16" fillId="2" borderId="23" xfId="1" applyNumberFormat="1" applyFont="1" applyFill="1" applyBorder="1" applyAlignment="1" applyProtection="1">
      <alignment horizontal="center" vertical="center"/>
      <protection locked="0"/>
    </xf>
    <xf numFmtId="0" fontId="6" fillId="0" borderId="0" xfId="0" applyFont="1"/>
    <xf numFmtId="0" fontId="6" fillId="0" borderId="0" xfId="0" quotePrefix="1" applyFont="1"/>
    <xf numFmtId="9" fontId="6" fillId="0" borderId="0" xfId="0" quotePrefix="1" applyNumberFormat="1" applyFont="1"/>
    <xf numFmtId="0" fontId="61" fillId="0" borderId="0" xfId="0" applyFont="1" applyAlignment="1">
      <alignment horizontal="center" vertical="center" wrapText="1"/>
    </xf>
    <xf numFmtId="0" fontId="0" fillId="0" borderId="90" xfId="0" applyBorder="1"/>
    <xf numFmtId="0" fontId="11" fillId="0" borderId="90" xfId="0" applyFont="1" applyBorder="1"/>
    <xf numFmtId="0" fontId="12" fillId="0" borderId="90" xfId="0" applyFont="1" applyBorder="1"/>
    <xf numFmtId="0" fontId="6" fillId="0" borderId="90" xfId="0" applyFont="1" applyBorder="1"/>
    <xf numFmtId="43" fontId="0" fillId="0" borderId="90" xfId="1" applyFont="1" applyBorder="1"/>
    <xf numFmtId="0" fontId="19" fillId="0" borderId="90" xfId="0" applyFont="1" applyBorder="1" applyAlignment="1">
      <alignment horizontal="center" vertical="center" wrapText="1"/>
    </xf>
    <xf numFmtId="167" fontId="16" fillId="2" borderId="58" xfId="1" applyNumberFormat="1" applyFont="1" applyFill="1" applyBorder="1" applyAlignment="1" applyProtection="1">
      <alignment horizontal="center"/>
      <protection locked="0"/>
    </xf>
    <xf numFmtId="0" fontId="62" fillId="0" borderId="90" xfId="0" applyFont="1" applyBorder="1"/>
    <xf numFmtId="0" fontId="19" fillId="0" borderId="90" xfId="0" applyFont="1" applyBorder="1"/>
    <xf numFmtId="0" fontId="28" fillId="7" borderId="62" xfId="0" applyFont="1" applyFill="1" applyBorder="1" applyAlignment="1">
      <alignment horizontal="center" vertical="center"/>
    </xf>
    <xf numFmtId="0" fontId="62" fillId="0" borderId="90" xfId="0" quotePrefix="1" applyFont="1" applyBorder="1"/>
    <xf numFmtId="9" fontId="19" fillId="0" borderId="90" xfId="0" quotePrefix="1" applyNumberFormat="1" applyFont="1" applyBorder="1"/>
    <xf numFmtId="0" fontId="19" fillId="0" borderId="90" xfId="0" quotePrefix="1" applyFont="1" applyBorder="1"/>
    <xf numFmtId="167" fontId="16" fillId="2" borderId="50" xfId="1" applyNumberFormat="1" applyFont="1" applyFill="1" applyBorder="1" applyAlignment="1" applyProtection="1">
      <alignment horizontal="center" vertical="center"/>
      <protection locked="0"/>
    </xf>
    <xf numFmtId="167" fontId="16" fillId="2" borderId="4" xfId="1" applyNumberFormat="1" applyFont="1" applyFill="1" applyBorder="1" applyAlignment="1" applyProtection="1">
      <alignment horizontal="center" vertical="center"/>
      <protection locked="0"/>
    </xf>
    <xf numFmtId="167" fontId="16" fillId="2" borderId="59" xfId="1" applyNumberFormat="1" applyFont="1" applyFill="1" applyBorder="1" applyAlignment="1" applyProtection="1">
      <alignment horizontal="center"/>
      <protection locked="0"/>
    </xf>
    <xf numFmtId="167" fontId="16" fillId="2" borderId="60" xfId="1" applyNumberFormat="1" applyFont="1" applyFill="1" applyBorder="1" applyAlignment="1" applyProtection="1">
      <alignment horizontal="center"/>
      <protection locked="0"/>
    </xf>
    <xf numFmtId="167" fontId="16" fillId="2" borderId="60" xfId="1" applyNumberFormat="1" applyFont="1" applyFill="1" applyBorder="1" applyAlignment="1" applyProtection="1">
      <alignment horizontal="center" vertical="center"/>
      <protection locked="0"/>
    </xf>
    <xf numFmtId="167" fontId="16" fillId="2" borderId="4" xfId="1" applyNumberFormat="1" applyFont="1" applyFill="1" applyBorder="1" applyAlignment="1" applyProtection="1">
      <alignment horizontal="center"/>
      <protection locked="0"/>
    </xf>
    <xf numFmtId="167" fontId="16" fillId="2" borderId="56" xfId="1" applyNumberFormat="1" applyFont="1" applyFill="1" applyBorder="1" applyAlignment="1" applyProtection="1">
      <alignment horizontal="center"/>
      <protection locked="0"/>
    </xf>
    <xf numFmtId="167" fontId="29" fillId="2" borderId="56" xfId="1" applyNumberFormat="1" applyFont="1" applyFill="1" applyBorder="1" applyAlignment="1" applyProtection="1">
      <alignment horizontal="center"/>
      <protection locked="0"/>
    </xf>
    <xf numFmtId="167" fontId="16" fillId="2" borderId="3" xfId="1" applyNumberFormat="1" applyFont="1" applyFill="1" applyBorder="1" applyAlignment="1" applyProtection="1">
      <alignment horizontal="center"/>
      <protection locked="0"/>
    </xf>
    <xf numFmtId="167" fontId="16" fillId="2" borderId="59" xfId="1" applyNumberFormat="1" applyFont="1" applyFill="1" applyBorder="1" applyAlignment="1" applyProtection="1">
      <alignment horizontal="center" vertical="center"/>
      <protection locked="0"/>
    </xf>
    <xf numFmtId="167" fontId="16" fillId="2" borderId="49" xfId="1" applyNumberFormat="1" applyFont="1" applyFill="1" applyBorder="1" applyAlignment="1" applyProtection="1">
      <alignment horizontal="center" vertical="center"/>
      <protection locked="0"/>
    </xf>
    <xf numFmtId="167" fontId="16" fillId="2" borderId="2" xfId="1" applyNumberFormat="1" applyFont="1" applyFill="1" applyBorder="1" applyAlignment="1" applyProtection="1">
      <alignment horizontal="center" vertical="center"/>
      <protection locked="0"/>
    </xf>
    <xf numFmtId="167" fontId="16" fillId="2" borderId="2" xfId="1" applyNumberFormat="1" applyFont="1" applyFill="1" applyBorder="1" applyAlignment="1" applyProtection="1">
      <alignment horizontal="center"/>
      <protection locked="0"/>
    </xf>
    <xf numFmtId="167" fontId="16" fillId="2" borderId="51" xfId="1" applyNumberFormat="1" applyFont="1" applyFill="1" applyBorder="1" applyAlignment="1" applyProtection="1">
      <alignment horizontal="center"/>
      <protection locked="0"/>
    </xf>
    <xf numFmtId="167" fontId="16" fillId="2" borderId="87" xfId="1" applyNumberFormat="1" applyFont="1" applyFill="1" applyBorder="1" applyAlignment="1" applyProtection="1">
      <alignment horizontal="center"/>
      <protection locked="0"/>
    </xf>
    <xf numFmtId="167" fontId="16" fillId="2" borderId="51" xfId="1" applyNumberFormat="1" applyFont="1" applyFill="1" applyBorder="1" applyAlignment="1" applyProtection="1">
      <alignment horizontal="center" vertical="center"/>
      <protection locked="0"/>
    </xf>
    <xf numFmtId="167" fontId="16" fillId="2" borderId="87" xfId="1" applyNumberFormat="1" applyFont="1" applyFill="1" applyBorder="1" applyAlignment="1" applyProtection="1">
      <alignment horizontal="center" vertical="center"/>
      <protection locked="0"/>
    </xf>
    <xf numFmtId="167" fontId="16" fillId="2" borderId="53" xfId="1" applyNumberFormat="1" applyFont="1" applyFill="1" applyBorder="1" applyAlignment="1" applyProtection="1">
      <alignment horizontal="center"/>
      <protection locked="0"/>
    </xf>
    <xf numFmtId="167" fontId="16" fillId="2" borderId="96" xfId="1" applyNumberFormat="1" applyFont="1" applyFill="1" applyBorder="1" applyAlignment="1" applyProtection="1">
      <alignment horizontal="center"/>
      <protection locked="0"/>
    </xf>
    <xf numFmtId="167" fontId="16" fillId="2" borderId="65" xfId="1" applyNumberFormat="1" applyFont="1" applyFill="1" applyBorder="1" applyAlignment="1" applyProtection="1">
      <alignment horizontal="center"/>
      <protection locked="0"/>
    </xf>
    <xf numFmtId="167" fontId="16" fillId="2" borderId="45" xfId="1" applyNumberFormat="1" applyFont="1" applyFill="1" applyBorder="1" applyAlignment="1" applyProtection="1">
      <alignment horizontal="center" vertical="center"/>
      <protection locked="0"/>
    </xf>
    <xf numFmtId="167" fontId="16" fillId="2" borderId="3" xfId="1" applyNumberFormat="1" applyFont="1" applyFill="1" applyBorder="1" applyAlignment="1" applyProtection="1">
      <alignment horizontal="center" vertical="center"/>
      <protection locked="0"/>
    </xf>
    <xf numFmtId="167" fontId="16" fillId="2" borderId="65" xfId="1" applyNumberFormat="1" applyFont="1" applyFill="1" applyBorder="1" applyAlignment="1" applyProtection="1">
      <alignment horizontal="center" vertical="center"/>
      <protection locked="0"/>
    </xf>
    <xf numFmtId="165" fontId="16" fillId="2" borderId="12" xfId="1" applyNumberFormat="1" applyFont="1" applyFill="1" applyBorder="1" applyAlignment="1" applyProtection="1">
      <alignment horizontal="center" vertical="center"/>
      <protection locked="0"/>
    </xf>
    <xf numFmtId="165" fontId="16" fillId="2" borderId="107" xfId="1" applyNumberFormat="1" applyFont="1" applyFill="1" applyBorder="1" applyAlignment="1" applyProtection="1">
      <alignment horizontal="center" vertical="center"/>
      <protection locked="0"/>
    </xf>
    <xf numFmtId="0" fontId="62" fillId="0" borderId="0" xfId="0" applyFont="1"/>
    <xf numFmtId="167" fontId="16" fillId="2" borderId="23" xfId="1" applyNumberFormat="1" applyFont="1" applyFill="1" applyBorder="1" applyAlignment="1" applyProtection="1">
      <alignment horizontal="center" vertical="center"/>
      <protection locked="0"/>
    </xf>
    <xf numFmtId="167" fontId="16" fillId="2" borderId="107" xfId="1" applyNumberFormat="1" applyFont="1" applyFill="1" applyBorder="1" applyAlignment="1" applyProtection="1">
      <alignment horizontal="center" vertical="center"/>
      <protection locked="0"/>
    </xf>
    <xf numFmtId="167" fontId="16" fillId="2" borderId="14" xfId="1" applyNumberFormat="1" applyFont="1" applyFill="1" applyBorder="1" applyAlignment="1" applyProtection="1">
      <alignment horizontal="center" vertical="center"/>
      <protection locked="0"/>
    </xf>
    <xf numFmtId="167" fontId="16" fillId="2" borderId="23" xfId="1" applyNumberFormat="1" applyFont="1" applyFill="1" applyBorder="1" applyAlignment="1" applyProtection="1">
      <alignment horizontal="center"/>
      <protection locked="0"/>
    </xf>
    <xf numFmtId="167" fontId="16" fillId="2" borderId="52" xfId="1" applyNumberFormat="1" applyFont="1" applyFill="1" applyBorder="1" applyAlignment="1" applyProtection="1">
      <alignment horizontal="center" vertical="center"/>
      <protection locked="0"/>
    </xf>
    <xf numFmtId="167" fontId="16" fillId="2" borderId="24" xfId="1" applyNumberFormat="1" applyFont="1" applyFill="1" applyBorder="1" applyAlignment="1" applyProtection="1">
      <alignment horizontal="center" vertical="center"/>
      <protection locked="0"/>
    </xf>
    <xf numFmtId="167" fontId="16" fillId="2" borderId="57" xfId="1" applyNumberFormat="1" applyFont="1" applyFill="1" applyBorder="1" applyAlignment="1" applyProtection="1">
      <alignment horizontal="center" vertical="center"/>
      <protection locked="0"/>
    </xf>
    <xf numFmtId="167" fontId="16" fillId="2" borderId="58" xfId="1" applyNumberFormat="1" applyFont="1" applyFill="1" applyBorder="1" applyAlignment="1" applyProtection="1">
      <alignment horizontal="center" vertical="center"/>
      <protection locked="0"/>
    </xf>
    <xf numFmtId="167" fontId="16" fillId="2" borderId="52" xfId="1" applyNumberFormat="1" applyFont="1" applyFill="1" applyBorder="1" applyAlignment="1" applyProtection="1">
      <alignment horizontal="center"/>
      <protection locked="0"/>
    </xf>
    <xf numFmtId="167" fontId="16" fillId="2" borderId="54" xfId="1" applyNumberFormat="1" applyFont="1" applyFill="1" applyBorder="1" applyAlignment="1" applyProtection="1">
      <alignment horizontal="center"/>
      <protection locked="0"/>
    </xf>
    <xf numFmtId="167" fontId="16" fillId="2" borderId="21" xfId="1" applyNumberFormat="1" applyFont="1" applyFill="1" applyBorder="1" applyAlignment="1" applyProtection="1">
      <alignment horizontal="center" vertical="center"/>
      <protection locked="0"/>
    </xf>
    <xf numFmtId="167" fontId="16" fillId="2" borderId="95" xfId="1" applyNumberFormat="1" applyFont="1" applyFill="1" applyBorder="1" applyAlignment="1" applyProtection="1">
      <alignment horizontal="center" vertical="center"/>
      <protection locked="0"/>
    </xf>
    <xf numFmtId="167" fontId="16" fillId="2" borderId="89" xfId="1" applyNumberFormat="1" applyFont="1" applyFill="1" applyBorder="1" applyAlignment="1" applyProtection="1">
      <alignment horizontal="center"/>
      <protection locked="0"/>
    </xf>
    <xf numFmtId="167" fontId="16" fillId="2" borderId="55" xfId="1" applyNumberFormat="1" applyFont="1" applyFill="1" applyBorder="1" applyAlignment="1" applyProtection="1">
      <alignment horizontal="center" vertical="center"/>
      <protection locked="0"/>
    </xf>
    <xf numFmtId="167" fontId="16" fillId="2" borderId="53" xfId="1" applyNumberFormat="1" applyFont="1" applyFill="1" applyBorder="1" applyAlignment="1" applyProtection="1">
      <alignment horizontal="center" vertical="center"/>
      <protection locked="0"/>
    </xf>
    <xf numFmtId="0" fontId="63" fillId="0" borderId="0" xfId="0" applyFont="1"/>
    <xf numFmtId="1" fontId="64" fillId="0" borderId="0" xfId="0" applyNumberFormat="1" applyFont="1"/>
    <xf numFmtId="0" fontId="33" fillId="0" borderId="15" xfId="0" applyFont="1" applyBorder="1"/>
    <xf numFmtId="1" fontId="14" fillId="0" borderId="15" xfId="0" applyNumberFormat="1" applyFont="1" applyBorder="1"/>
    <xf numFmtId="1" fontId="64" fillId="0" borderId="15" xfId="0" applyNumberFormat="1" applyFont="1" applyBorder="1"/>
    <xf numFmtId="0" fontId="14" fillId="0" borderId="15" xfId="0" applyFont="1" applyBorder="1"/>
    <xf numFmtId="0" fontId="33" fillId="0" borderId="45" xfId="0" applyFont="1" applyBorder="1"/>
    <xf numFmtId="1" fontId="14" fillId="0" borderId="45" xfId="0" applyNumberFormat="1" applyFont="1" applyBorder="1"/>
    <xf numFmtId="1" fontId="64" fillId="0" borderId="45" xfId="0" applyNumberFormat="1" applyFont="1" applyBorder="1"/>
    <xf numFmtId="0" fontId="5" fillId="0" borderId="0" xfId="0" applyFont="1"/>
    <xf numFmtId="0" fontId="33" fillId="0" borderId="48" xfId="0" applyFont="1" applyBorder="1"/>
    <xf numFmtId="0" fontId="33" fillId="0" borderId="17" xfId="0" applyFont="1" applyBorder="1"/>
    <xf numFmtId="0" fontId="33" fillId="0" borderId="61" xfId="0" applyFont="1" applyBorder="1"/>
    <xf numFmtId="2" fontId="62" fillId="0" borderId="90" xfId="0" applyNumberFormat="1" applyFont="1" applyBorder="1"/>
    <xf numFmtId="168" fontId="62" fillId="0" borderId="90" xfId="0" applyNumberFormat="1" applyFont="1" applyBorder="1"/>
    <xf numFmtId="10" fontId="0" fillId="0" borderId="0" xfId="0" applyNumberFormat="1"/>
    <xf numFmtId="169" fontId="0" fillId="0" borderId="0" xfId="0" applyNumberFormat="1"/>
    <xf numFmtId="166" fontId="0" fillId="7" borderId="2" xfId="1" applyNumberFormat="1" applyFont="1" applyFill="1" applyBorder="1"/>
    <xf numFmtId="0" fontId="65" fillId="0" borderId="0" xfId="0" applyFont="1"/>
    <xf numFmtId="9" fontId="37" fillId="18" borderId="2" xfId="5" applyFont="1" applyFill="1" applyBorder="1" applyAlignment="1">
      <alignment horizontal="center" vertical="center"/>
    </xf>
    <xf numFmtId="0" fontId="24" fillId="6" borderId="72" xfId="0" applyFont="1" applyFill="1" applyBorder="1" applyAlignment="1">
      <alignment horizontal="center" vertical="center"/>
    </xf>
    <xf numFmtId="0" fontId="24" fillId="6" borderId="63" xfId="0" applyFont="1" applyFill="1" applyBorder="1" applyAlignment="1">
      <alignment horizontal="center" vertical="center"/>
    </xf>
    <xf numFmtId="1" fontId="66" fillId="0" borderId="15" xfId="0" applyNumberFormat="1" applyFont="1" applyBorder="1"/>
    <xf numFmtId="1" fontId="66" fillId="0" borderId="0" xfId="0" applyNumberFormat="1" applyFont="1"/>
    <xf numFmtId="1" fontId="66" fillId="0" borderId="45" xfId="0" applyNumberFormat="1" applyFont="1" applyBorder="1"/>
    <xf numFmtId="0" fontId="66" fillId="0" borderId="0" xfId="0" applyFont="1"/>
    <xf numFmtId="0" fontId="19" fillId="0" borderId="0" xfId="0" applyFont="1" applyAlignment="1">
      <alignment horizontal="center" vertical="center" wrapText="1"/>
    </xf>
    <xf numFmtId="0" fontId="19" fillId="0" borderId="0" xfId="0" applyFont="1"/>
    <xf numFmtId="0" fontId="62" fillId="0" borderId="0" xfId="0" quotePrefix="1" applyFont="1"/>
    <xf numFmtId="0" fontId="28" fillId="7" borderId="5" xfId="0" applyFont="1" applyFill="1" applyBorder="1" applyAlignment="1">
      <alignment horizontal="center" vertical="center"/>
    </xf>
    <xf numFmtId="0" fontId="3" fillId="0" borderId="0" xfId="0" applyFont="1"/>
    <xf numFmtId="167" fontId="64" fillId="0" borderId="0" xfId="1" applyNumberFormat="1" applyFont="1"/>
    <xf numFmtId="167" fontId="14" fillId="0" borderId="0" xfId="1" applyNumberFormat="1" applyFont="1" applyFill="1"/>
    <xf numFmtId="167" fontId="41" fillId="0" borderId="0" xfId="1" applyNumberFormat="1" applyFont="1" applyFill="1"/>
    <xf numFmtId="167" fontId="14" fillId="0" borderId="0" xfId="1" applyNumberFormat="1" applyFont="1"/>
    <xf numFmtId="9" fontId="37" fillId="0" borderId="2" xfId="5" applyFont="1" applyFill="1" applyBorder="1" applyAlignment="1">
      <alignment horizontal="center" vertical="center"/>
    </xf>
    <xf numFmtId="167" fontId="64" fillId="0" borderId="0" xfId="0" applyNumberFormat="1" applyFont="1"/>
    <xf numFmtId="167" fontId="64" fillId="0" borderId="0" xfId="1" applyNumberFormat="1" applyFont="1" applyFill="1"/>
    <xf numFmtId="167" fontId="64" fillId="0" borderId="0" xfId="1" applyNumberFormat="1" applyFont="1" applyBorder="1"/>
    <xf numFmtId="167" fontId="14" fillId="0" borderId="15" xfId="1" applyNumberFormat="1" applyFont="1" applyBorder="1"/>
    <xf numFmtId="167" fontId="14" fillId="0" borderId="0" xfId="1" applyNumberFormat="1" applyFont="1" applyBorder="1"/>
    <xf numFmtId="167" fontId="14" fillId="0" borderId="45" xfId="1" applyNumberFormat="1" applyFont="1" applyBorder="1"/>
    <xf numFmtId="167" fontId="41" fillId="0" borderId="0" xfId="1" applyNumberFormat="1" applyFont="1" applyBorder="1"/>
    <xf numFmtId="167" fontId="64" fillId="0" borderId="15" xfId="1" applyNumberFormat="1" applyFont="1" applyBorder="1"/>
    <xf numFmtId="167" fontId="64" fillId="0" borderId="45" xfId="1" applyNumberFormat="1" applyFont="1" applyBorder="1"/>
    <xf numFmtId="167" fontId="64" fillId="0" borderId="64" xfId="1" applyNumberFormat="1" applyFont="1" applyBorder="1"/>
    <xf numFmtId="167" fontId="64" fillId="0" borderId="46" xfId="1" applyNumberFormat="1" applyFont="1" applyBorder="1"/>
    <xf numFmtId="167" fontId="64" fillId="0" borderId="51" xfId="1" applyNumberFormat="1" applyFont="1" applyBorder="1"/>
    <xf numFmtId="167" fontId="41" fillId="0" borderId="0" xfId="1" applyNumberFormat="1" applyFont="1" applyFill="1" applyBorder="1"/>
    <xf numFmtId="0" fontId="3" fillId="0" borderId="90" xfId="0" applyFont="1" applyBorder="1"/>
    <xf numFmtId="167" fontId="4" fillId="2" borderId="58" xfId="1" applyNumberFormat="1" applyFont="1" applyFill="1" applyBorder="1" applyAlignment="1" applyProtection="1">
      <alignment horizontal="center"/>
      <protection locked="0"/>
    </xf>
    <xf numFmtId="0" fontId="3" fillId="0" borderId="90" xfId="0" quotePrefix="1" applyFont="1" applyBorder="1"/>
    <xf numFmtId="0" fontId="26" fillId="0" borderId="78" xfId="0" applyFont="1" applyBorder="1" applyAlignment="1">
      <alignment horizontal="center" vertical="center" wrapText="1"/>
    </xf>
    <xf numFmtId="0" fontId="50" fillId="7" borderId="42" xfId="0" applyFont="1" applyFill="1" applyBorder="1" applyAlignment="1">
      <alignment horizontal="center" vertical="top"/>
    </xf>
    <xf numFmtId="0" fontId="21" fillId="6" borderId="43" xfId="0" applyFont="1" applyFill="1" applyBorder="1" applyAlignment="1">
      <alignment horizontal="center" vertical="center"/>
    </xf>
    <xf numFmtId="0" fontId="21" fillId="6" borderId="72" xfId="0" applyFont="1" applyFill="1" applyBorder="1" applyAlignment="1">
      <alignment horizontal="center" vertical="center"/>
    </xf>
    <xf numFmtId="0" fontId="21" fillId="6" borderId="63" xfId="0" applyFont="1" applyFill="1" applyBorder="1" applyAlignment="1">
      <alignment horizontal="center" vertical="center"/>
    </xf>
    <xf numFmtId="167" fontId="16" fillId="2" borderId="26" xfId="1" applyNumberFormat="1" applyFont="1" applyFill="1" applyBorder="1" applyAlignment="1" applyProtection="1">
      <alignment horizontal="center" vertical="center"/>
      <protection locked="0"/>
    </xf>
    <xf numFmtId="167" fontId="16" fillId="2" borderId="62" xfId="1" applyNumberFormat="1" applyFont="1" applyFill="1" applyBorder="1" applyAlignment="1" applyProtection="1">
      <alignment horizontal="center" vertical="center"/>
      <protection locked="0"/>
    </xf>
    <xf numFmtId="167" fontId="16" fillId="2" borderId="26" xfId="1" applyNumberFormat="1" applyFont="1" applyFill="1" applyBorder="1" applyAlignment="1" applyProtection="1">
      <alignment horizontal="center"/>
      <protection locked="0"/>
    </xf>
    <xf numFmtId="167" fontId="16" fillId="2" borderId="62" xfId="1" applyNumberFormat="1" applyFont="1" applyFill="1" applyBorder="1" applyAlignment="1" applyProtection="1">
      <alignment horizontal="center"/>
      <protection locked="0"/>
    </xf>
    <xf numFmtId="167" fontId="16" fillId="2" borderId="55" xfId="1" applyNumberFormat="1" applyFont="1" applyFill="1" applyBorder="1" applyAlignment="1" applyProtection="1">
      <alignment horizontal="center"/>
      <protection locked="0"/>
    </xf>
    <xf numFmtId="167" fontId="16" fillId="2" borderId="14" xfId="1" applyNumberFormat="1" applyFont="1" applyFill="1" applyBorder="1" applyAlignment="1" applyProtection="1">
      <alignment horizontal="center"/>
      <protection locked="0"/>
    </xf>
    <xf numFmtId="165" fontId="16" fillId="2" borderId="14" xfId="1" applyNumberFormat="1" applyFont="1" applyFill="1" applyBorder="1" applyAlignment="1" applyProtection="1">
      <alignment horizontal="center"/>
      <protection locked="0"/>
    </xf>
    <xf numFmtId="165" fontId="16" fillId="2" borderId="65" xfId="1" applyNumberFormat="1" applyFont="1" applyFill="1" applyBorder="1" applyAlignment="1" applyProtection="1">
      <alignment horizontal="center"/>
      <protection locked="0"/>
    </xf>
    <xf numFmtId="0" fontId="37" fillId="3" borderId="0" xfId="0" applyFont="1" applyFill="1" applyAlignment="1">
      <alignment horizontal="center" vertical="center"/>
    </xf>
    <xf numFmtId="3" fontId="38" fillId="3" borderId="0" xfId="0" applyNumberFormat="1" applyFont="1" applyFill="1" applyAlignment="1">
      <alignment horizontal="center" vertical="center"/>
    </xf>
    <xf numFmtId="3" fontId="38" fillId="0" borderId="0" xfId="0" applyNumberFormat="1" applyFont="1" applyAlignment="1">
      <alignment horizontal="center" vertical="center"/>
    </xf>
    <xf numFmtId="9" fontId="37" fillId="3" borderId="0" xfId="5" applyFont="1" applyFill="1" applyBorder="1" applyAlignment="1">
      <alignment horizontal="center" vertical="center"/>
    </xf>
    <xf numFmtId="0" fontId="64" fillId="0" borderId="0" xfId="0" applyFont="1"/>
    <xf numFmtId="1" fontId="67" fillId="0" borderId="0" xfId="0" applyNumberFormat="1" applyFont="1"/>
    <xf numFmtId="167" fontId="14" fillId="0" borderId="0" xfId="0" applyNumberFormat="1" applyFont="1"/>
    <xf numFmtId="0" fontId="43" fillId="19" borderId="2" xfId="6" applyFont="1" applyFill="1" applyBorder="1"/>
    <xf numFmtId="0" fontId="50" fillId="7" borderId="109" xfId="0" applyFont="1" applyFill="1" applyBorder="1" applyAlignment="1">
      <alignment horizontal="left" vertical="top"/>
    </xf>
    <xf numFmtId="167" fontId="64" fillId="0" borderId="0" xfId="1" applyNumberFormat="1" applyFont="1" applyFill="1" applyBorder="1"/>
    <xf numFmtId="0" fontId="69" fillId="12" borderId="0" xfId="0" applyFont="1" applyFill="1" applyAlignment="1">
      <alignment horizontal="left" vertical="center" wrapText="1"/>
    </xf>
    <xf numFmtId="0" fontId="69" fillId="13" borderId="0" xfId="0" applyFont="1" applyFill="1" applyAlignment="1">
      <alignment horizontal="left" vertical="center" wrapText="1"/>
    </xf>
    <xf numFmtId="0" fontId="69" fillId="14" borderId="0" xfId="0" applyFont="1" applyFill="1" applyAlignment="1">
      <alignment horizontal="left" vertical="center" wrapText="1"/>
    </xf>
    <xf numFmtId="0" fontId="69" fillId="15" borderId="0" xfId="0" applyFont="1" applyFill="1" applyAlignment="1">
      <alignment horizontal="left" vertical="center" wrapText="1"/>
    </xf>
    <xf numFmtId="0" fontId="69" fillId="16" borderId="0" xfId="0" applyFont="1" applyFill="1" applyAlignment="1">
      <alignment horizontal="left" vertical="center" wrapText="1"/>
    </xf>
    <xf numFmtId="2" fontId="72" fillId="0" borderId="0" xfId="0" applyNumberFormat="1" applyFont="1" applyAlignment="1">
      <alignment horizontal="left" vertical="center" wrapText="1"/>
    </xf>
    <xf numFmtId="0" fontId="70" fillId="3" borderId="0" xfId="0" applyFont="1" applyFill="1" applyAlignment="1">
      <alignment horizontal="center" vertical="center" wrapText="1"/>
    </xf>
    <xf numFmtId="0" fontId="72" fillId="0" borderId="0" xfId="0" applyFont="1" applyAlignment="1">
      <alignment horizontal="center" vertical="center" wrapText="1"/>
    </xf>
    <xf numFmtId="0" fontId="72" fillId="0" borderId="45" xfId="0" applyFont="1" applyBorder="1" applyAlignment="1">
      <alignment horizontal="center" vertical="center" wrapText="1"/>
    </xf>
    <xf numFmtId="0" fontId="71" fillId="12" borderId="45" xfId="0" applyFont="1" applyFill="1" applyBorder="1" applyAlignment="1">
      <alignment horizontal="left" vertical="center" wrapText="1"/>
    </xf>
    <xf numFmtId="0" fontId="71" fillId="13" borderId="45" xfId="0" applyFont="1" applyFill="1" applyBorder="1" applyAlignment="1">
      <alignment horizontal="left" vertical="center" wrapText="1"/>
    </xf>
    <xf numFmtId="0" fontId="71" fillId="14" borderId="45" xfId="0" applyFont="1" applyFill="1" applyBorder="1" applyAlignment="1">
      <alignment horizontal="left" vertical="center" wrapText="1"/>
    </xf>
    <xf numFmtId="0" fontId="71" fillId="15" borderId="45" xfId="0" applyFont="1" applyFill="1" applyBorder="1" applyAlignment="1">
      <alignment horizontal="left" vertical="center" wrapText="1"/>
    </xf>
    <xf numFmtId="0" fontId="71" fillId="16" borderId="45" xfId="0" applyFont="1" applyFill="1" applyBorder="1" applyAlignment="1">
      <alignment horizontal="left" vertical="center" wrapText="1"/>
    </xf>
    <xf numFmtId="0" fontId="2" fillId="0" borderId="64" xfId="0" applyFont="1" applyBorder="1" applyAlignment="1">
      <alignment horizontal="center" vertical="center"/>
    </xf>
    <xf numFmtId="167" fontId="16" fillId="2" borderId="31" xfId="1" applyNumberFormat="1" applyFont="1" applyFill="1" applyBorder="1" applyAlignment="1" applyProtection="1">
      <alignment horizontal="center"/>
      <protection locked="0"/>
    </xf>
    <xf numFmtId="167" fontId="16" fillId="2" borderId="1" xfId="1" applyNumberFormat="1" applyFont="1" applyFill="1" applyBorder="1" applyAlignment="1" applyProtection="1">
      <alignment horizontal="center"/>
      <protection locked="0"/>
    </xf>
    <xf numFmtId="167" fontId="16" fillId="2" borderId="75" xfId="1" applyNumberFormat="1" applyFont="1" applyFill="1" applyBorder="1" applyAlignment="1" applyProtection="1">
      <alignment horizontal="center"/>
      <protection locked="0"/>
    </xf>
    <xf numFmtId="0" fontId="2" fillId="0" borderId="2" xfId="0" applyFont="1" applyBorder="1" applyAlignment="1">
      <alignment horizontal="center" vertical="center"/>
    </xf>
    <xf numFmtId="0" fontId="27" fillId="0" borderId="31" xfId="0" applyFont="1" applyBorder="1" applyAlignment="1">
      <alignment horizontal="left" vertical="top"/>
    </xf>
    <xf numFmtId="0" fontId="2" fillId="0" borderId="65" xfId="0" applyFont="1" applyBorder="1" applyAlignment="1">
      <alignment horizontal="center" vertical="center"/>
    </xf>
    <xf numFmtId="0" fontId="27" fillId="0" borderId="26" xfId="0" applyFont="1" applyBorder="1" applyAlignment="1">
      <alignment horizontal="left" vertical="top" wrapText="1"/>
    </xf>
    <xf numFmtId="0" fontId="2" fillId="0" borderId="5" xfId="0" applyFont="1" applyBorder="1" applyAlignment="1">
      <alignment horizontal="center" vertical="center"/>
    </xf>
    <xf numFmtId="0" fontId="27" fillId="0" borderId="59" xfId="0" applyFont="1" applyBorder="1" applyAlignment="1">
      <alignment horizontal="left" vertical="top" wrapText="1"/>
    </xf>
    <xf numFmtId="0" fontId="2" fillId="0" borderId="58" xfId="0" applyFont="1" applyBorder="1" applyAlignment="1">
      <alignment horizontal="center" vertical="center"/>
    </xf>
    <xf numFmtId="0" fontId="2" fillId="0" borderId="52" xfId="0" applyFont="1" applyBorder="1" applyAlignment="1">
      <alignment horizontal="center" vertical="center"/>
    </xf>
    <xf numFmtId="0" fontId="2" fillId="0" borderId="24" xfId="0" applyFont="1" applyBorder="1" applyAlignment="1">
      <alignment horizontal="center" vertical="center"/>
    </xf>
    <xf numFmtId="0" fontId="27" fillId="0" borderId="14" xfId="0" applyFont="1" applyBorder="1" applyAlignment="1">
      <alignment horizontal="left" vertical="center"/>
    </xf>
    <xf numFmtId="0" fontId="27" fillId="0" borderId="14" xfId="0" applyFont="1" applyBorder="1" applyAlignment="1">
      <alignment horizontal="left" vertical="top" wrapText="1"/>
    </xf>
    <xf numFmtId="14" fontId="1" fillId="0" borderId="2" xfId="0" applyNumberFormat="1" applyFont="1" applyBorder="1" applyAlignment="1">
      <alignment horizontal="left"/>
    </xf>
    <xf numFmtId="0" fontId="35" fillId="5" borderId="5" xfId="0" applyFont="1" applyFill="1" applyBorder="1" applyAlignment="1">
      <alignment horizontal="center" vertical="center"/>
    </xf>
    <xf numFmtId="0" fontId="18" fillId="5" borderId="6" xfId="0" applyFont="1" applyFill="1" applyBorder="1" applyAlignment="1">
      <alignment horizontal="center" vertical="center"/>
    </xf>
    <xf numFmtId="0" fontId="28" fillId="3" borderId="0" xfId="0" applyFont="1" applyFill="1" applyAlignment="1">
      <alignment horizontal="left" vertical="center" wrapText="1"/>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38" fillId="13" borderId="50" xfId="0" applyFont="1" applyFill="1" applyBorder="1" applyAlignment="1">
      <alignment horizontal="center" vertical="center" wrapText="1"/>
    </xf>
    <xf numFmtId="0" fontId="38" fillId="13" borderId="2" xfId="0" applyFont="1" applyFill="1" applyBorder="1" applyAlignment="1">
      <alignment horizontal="center" vertical="center" wrapText="1"/>
    </xf>
    <xf numFmtId="0" fontId="37" fillId="13" borderId="8" xfId="0" applyFont="1" applyFill="1" applyBorder="1" applyAlignment="1">
      <alignment horizontal="center" vertical="center" wrapText="1"/>
    </xf>
    <xf numFmtId="0" fontId="37" fillId="13" borderId="14" xfId="0" applyFont="1" applyFill="1" applyBorder="1" applyAlignment="1">
      <alignment horizontal="center" vertical="center" wrapText="1"/>
    </xf>
    <xf numFmtId="0" fontId="37" fillId="13" borderId="73" xfId="0" applyFont="1" applyFill="1" applyBorder="1" applyAlignment="1">
      <alignment horizontal="center" vertical="center" wrapText="1"/>
    </xf>
    <xf numFmtId="0" fontId="37" fillId="14" borderId="8" xfId="0" applyFont="1" applyFill="1" applyBorder="1" applyAlignment="1">
      <alignment horizontal="center" vertical="center" wrapText="1"/>
    </xf>
    <xf numFmtId="0" fontId="37" fillId="14" borderId="14" xfId="0" applyFont="1" applyFill="1" applyBorder="1" applyAlignment="1">
      <alignment horizontal="center" vertical="center" wrapText="1"/>
    </xf>
    <xf numFmtId="0" fontId="38" fillId="14" borderId="2" xfId="0" applyFont="1" applyFill="1" applyBorder="1" applyAlignment="1">
      <alignment horizontal="center" vertical="center" wrapText="1"/>
    </xf>
    <xf numFmtId="0" fontId="37" fillId="15" borderId="8" xfId="0" applyFont="1" applyFill="1" applyBorder="1" applyAlignment="1">
      <alignment horizontal="center" vertical="center" wrapText="1"/>
    </xf>
    <xf numFmtId="0" fontId="37" fillId="15" borderId="14" xfId="0" applyFont="1" applyFill="1" applyBorder="1" applyAlignment="1">
      <alignment horizontal="center" vertical="center" wrapText="1"/>
    </xf>
    <xf numFmtId="0" fontId="37" fillId="15" borderId="73" xfId="0" applyFont="1" applyFill="1" applyBorder="1" applyAlignment="1">
      <alignment horizontal="center" vertical="center" wrapText="1"/>
    </xf>
    <xf numFmtId="0" fontId="38" fillId="15" borderId="1" xfId="0" applyFont="1" applyFill="1" applyBorder="1" applyAlignment="1">
      <alignment horizontal="center" vertical="center" wrapText="1"/>
    </xf>
    <xf numFmtId="0" fontId="38" fillId="15" borderId="3" xfId="0" applyFont="1" applyFill="1" applyBorder="1" applyAlignment="1">
      <alignment horizontal="center" vertical="center" wrapText="1"/>
    </xf>
    <xf numFmtId="0" fontId="38" fillId="15" borderId="74" xfId="0" applyFont="1" applyFill="1" applyBorder="1" applyAlignment="1">
      <alignment horizontal="center" vertical="center" wrapText="1"/>
    </xf>
    <xf numFmtId="0" fontId="37" fillId="16" borderId="8" xfId="0" applyFont="1" applyFill="1" applyBorder="1" applyAlignment="1">
      <alignment horizontal="center" vertical="center" wrapText="1"/>
    </xf>
    <xf numFmtId="0" fontId="37" fillId="16" borderId="14" xfId="0" applyFont="1" applyFill="1" applyBorder="1" applyAlignment="1">
      <alignment horizontal="center" vertical="center" wrapText="1"/>
    </xf>
    <xf numFmtId="0" fontId="37" fillId="16" borderId="73" xfId="0" applyFont="1" applyFill="1" applyBorder="1" applyAlignment="1">
      <alignment horizontal="center" vertical="center" wrapText="1"/>
    </xf>
    <xf numFmtId="0" fontId="38" fillId="16" borderId="2" xfId="0" applyFont="1" applyFill="1" applyBorder="1" applyAlignment="1">
      <alignment horizontal="center" vertical="center" wrapText="1"/>
    </xf>
    <xf numFmtId="0" fontId="38" fillId="16" borderId="1" xfId="0" applyFont="1" applyFill="1" applyBorder="1" applyAlignment="1">
      <alignment horizontal="center" vertical="center" wrapText="1"/>
    </xf>
    <xf numFmtId="0" fontId="38" fillId="16" borderId="74" xfId="0" applyFont="1" applyFill="1" applyBorder="1" applyAlignment="1">
      <alignment horizontal="center" vertical="center" wrapText="1"/>
    </xf>
    <xf numFmtId="0" fontId="46" fillId="0" borderId="0" xfId="0" applyFont="1" applyAlignment="1">
      <alignment horizontal="center" vertical="center" wrapText="1"/>
    </xf>
    <xf numFmtId="0" fontId="38" fillId="13" borderId="3" xfId="0" applyFont="1" applyFill="1" applyBorder="1" applyAlignment="1">
      <alignment horizontal="center" vertical="center" wrapText="1"/>
    </xf>
    <xf numFmtId="0" fontId="38" fillId="13" borderId="74" xfId="0" applyFont="1" applyFill="1" applyBorder="1" applyAlignment="1">
      <alignment horizontal="center" vertical="center" wrapText="1"/>
    </xf>
    <xf numFmtId="0" fontId="38" fillId="15" borderId="72" xfId="0" applyFont="1" applyFill="1" applyBorder="1" applyAlignment="1">
      <alignment horizontal="center" vertical="center" wrapText="1"/>
    </xf>
    <xf numFmtId="0" fontId="37" fillId="12" borderId="8" xfId="0" applyFont="1" applyFill="1" applyBorder="1" applyAlignment="1">
      <alignment horizontal="center" vertical="center" wrapText="1"/>
    </xf>
    <xf numFmtId="0" fontId="37" fillId="12" borderId="14" xfId="0" applyFont="1" applyFill="1" applyBorder="1" applyAlignment="1">
      <alignment horizontal="center" vertical="center" wrapText="1"/>
    </xf>
    <xf numFmtId="0" fontId="37" fillId="12" borderId="73" xfId="0" applyFont="1" applyFill="1" applyBorder="1" applyAlignment="1">
      <alignment horizontal="center" vertical="center" wrapText="1"/>
    </xf>
    <xf numFmtId="0" fontId="35" fillId="5" borderId="0" xfId="0" applyFont="1" applyFill="1" applyAlignment="1">
      <alignment horizontal="center" vertical="center"/>
    </xf>
    <xf numFmtId="0" fontId="19" fillId="0" borderId="0" xfId="0" applyFont="1" applyAlignment="1">
      <alignment horizontal="center" vertical="center"/>
    </xf>
    <xf numFmtId="14" fontId="8" fillId="0" borderId="0" xfId="0" applyNumberFormat="1" applyFont="1" applyAlignment="1">
      <alignment horizontal="center" vertical="center"/>
    </xf>
    <xf numFmtId="14" fontId="9" fillId="0" borderId="0" xfId="0" applyNumberFormat="1" applyFont="1" applyAlignment="1">
      <alignment horizontal="center" vertical="center"/>
    </xf>
    <xf numFmtId="0" fontId="24" fillId="6" borderId="8" xfId="0" applyFont="1" applyFill="1" applyBorder="1" applyAlignment="1">
      <alignment horizontal="center" vertical="center"/>
    </xf>
    <xf numFmtId="0" fontId="24" fillId="6" borderId="14" xfId="0" applyFont="1" applyFill="1" applyBorder="1" applyAlignment="1">
      <alignment horizontal="center" vertical="center"/>
    </xf>
    <xf numFmtId="0" fontId="24" fillId="6" borderId="73" xfId="0" applyFont="1" applyFill="1" applyBorder="1" applyAlignment="1">
      <alignment horizontal="center" vertical="center"/>
    </xf>
    <xf numFmtId="0" fontId="24" fillId="6" borderId="22" xfId="0" applyFont="1" applyFill="1" applyBorder="1" applyAlignment="1">
      <alignment horizontal="center" vertical="center"/>
    </xf>
    <xf numFmtId="0" fontId="24" fillId="6" borderId="24" xfId="0" applyFont="1" applyFill="1" applyBorder="1" applyAlignment="1">
      <alignment horizontal="center" vertical="center"/>
    </xf>
    <xf numFmtId="0" fontId="24" fillId="6" borderId="47" xfId="0" applyFont="1" applyFill="1" applyBorder="1" applyAlignment="1">
      <alignment horizontal="center" vertical="center"/>
    </xf>
    <xf numFmtId="0" fontId="38" fillId="12" borderId="1" xfId="0" applyFont="1" applyFill="1" applyBorder="1" applyAlignment="1">
      <alignment horizontal="center" vertical="center" wrapText="1"/>
    </xf>
    <xf numFmtId="0" fontId="38" fillId="12" borderId="3" xfId="0" applyFont="1" applyFill="1" applyBorder="1" applyAlignment="1">
      <alignment horizontal="center" vertical="center" wrapText="1"/>
    </xf>
    <xf numFmtId="0" fontId="24" fillId="6" borderId="72" xfId="0" applyFont="1" applyFill="1" applyBorder="1" applyAlignment="1">
      <alignment horizontal="center" vertical="center"/>
    </xf>
    <xf numFmtId="0" fontId="24" fillId="6" borderId="3" xfId="0" applyFont="1" applyFill="1" applyBorder="1" applyAlignment="1">
      <alignment horizontal="center" vertical="center"/>
    </xf>
    <xf numFmtId="0" fontId="24" fillId="6" borderId="74" xfId="0" applyFont="1" applyFill="1" applyBorder="1" applyAlignment="1">
      <alignment horizontal="center" vertical="center"/>
    </xf>
    <xf numFmtId="0" fontId="21" fillId="6" borderId="43" xfId="0" applyFont="1" applyFill="1" applyBorder="1" applyAlignment="1">
      <alignment horizontal="center" vertical="center" wrapText="1"/>
    </xf>
    <xf numFmtId="0" fontId="21" fillId="6" borderId="44" xfId="0" applyFont="1" applyFill="1" applyBorder="1" applyAlignment="1">
      <alignment horizontal="center" vertical="center" wrapText="1"/>
    </xf>
    <xf numFmtId="0" fontId="21" fillId="6" borderId="63" xfId="0" applyFont="1" applyFill="1" applyBorder="1" applyAlignment="1">
      <alignment horizontal="center" vertical="center" wrapText="1"/>
    </xf>
    <xf numFmtId="0" fontId="21" fillId="6" borderId="106" xfId="0" applyFont="1" applyFill="1" applyBorder="1" applyAlignment="1">
      <alignment horizontal="center" vertical="center" wrapText="1"/>
    </xf>
    <xf numFmtId="0" fontId="21" fillId="6" borderId="46" xfId="0" applyFont="1" applyFill="1" applyBorder="1" applyAlignment="1">
      <alignment horizontal="center" vertical="center" wrapText="1"/>
    </xf>
    <xf numFmtId="0" fontId="21" fillId="6" borderId="87" xfId="0" applyFont="1" applyFill="1" applyBorder="1" applyAlignment="1">
      <alignment horizontal="center" vertical="center" wrapText="1"/>
    </xf>
    <xf numFmtId="0" fontId="21" fillId="6" borderId="9" xfId="0" applyFont="1" applyFill="1" applyBorder="1" applyAlignment="1">
      <alignment horizontal="center" vertical="center"/>
    </xf>
    <xf numFmtId="0" fontId="21" fillId="6" borderId="15" xfId="0" applyFont="1" applyFill="1" applyBorder="1" applyAlignment="1">
      <alignment horizontal="center" vertical="center"/>
    </xf>
    <xf numFmtId="0" fontId="21" fillId="6" borderId="104" xfId="0" applyFont="1" applyFill="1" applyBorder="1" applyAlignment="1">
      <alignment horizontal="center" vertical="center"/>
    </xf>
    <xf numFmtId="0" fontId="25" fillId="0" borderId="76" xfId="0" applyFont="1" applyBorder="1" applyAlignment="1">
      <alignment horizontal="left" vertical="center" wrapText="1"/>
    </xf>
    <xf numFmtId="0" fontId="25" fillId="0" borderId="15" xfId="0" applyFont="1" applyBorder="1" applyAlignment="1">
      <alignment horizontal="left" vertical="center" wrapText="1"/>
    </xf>
    <xf numFmtId="0" fontId="27" fillId="0" borderId="27" xfId="0" applyFont="1" applyBorder="1" applyAlignment="1">
      <alignment horizontal="center" vertical="center" wrapText="1"/>
    </xf>
    <xf numFmtId="0" fontId="50" fillId="0" borderId="14" xfId="0" applyFont="1" applyBorder="1" applyAlignment="1">
      <alignment horizontal="center" vertical="center" wrapText="1"/>
    </xf>
    <xf numFmtId="0" fontId="50" fillId="0" borderId="32" xfId="0" applyFont="1" applyBorder="1" applyAlignment="1">
      <alignment horizontal="center" vertical="center" wrapText="1"/>
    </xf>
    <xf numFmtId="0" fontId="27" fillId="0" borderId="29" xfId="0" applyFont="1" applyBorder="1" applyAlignment="1">
      <alignment horizontal="center" vertical="center" wrapText="1"/>
    </xf>
    <xf numFmtId="0" fontId="50" fillId="0" borderId="24" xfId="0" applyFont="1" applyBorder="1" applyAlignment="1">
      <alignment horizontal="center" vertical="center" wrapText="1"/>
    </xf>
    <xf numFmtId="0" fontId="50" fillId="0" borderId="34"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19" xfId="0" applyFont="1" applyBorder="1" applyAlignment="1">
      <alignment horizontal="center" vertical="center" wrapText="1"/>
    </xf>
    <xf numFmtId="0" fontId="0" fillId="0" borderId="17" xfId="0" applyBorder="1" applyAlignment="1">
      <alignment horizontal="center" vertical="top" wrapText="1"/>
    </xf>
    <xf numFmtId="0" fontId="0" fillId="0" borderId="61" xfId="0" applyBorder="1" applyAlignment="1">
      <alignment horizontal="center" vertical="top" wrapText="1"/>
    </xf>
    <xf numFmtId="0" fontId="0" fillId="0" borderId="46" xfId="0" applyBorder="1" applyAlignment="1">
      <alignment horizontal="center" vertical="top" wrapText="1"/>
    </xf>
    <xf numFmtId="0" fontId="0" fillId="0" borderId="51" xfId="0" applyBorder="1" applyAlignment="1">
      <alignment horizontal="center" vertical="top" wrapText="1"/>
    </xf>
    <xf numFmtId="0" fontId="52" fillId="0" borderId="41" xfId="0" applyFont="1" applyBorder="1" applyAlignment="1">
      <alignment horizontal="center" vertical="center" wrapText="1"/>
    </xf>
    <xf numFmtId="0" fontId="52" fillId="0" borderId="42"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19" xfId="0" applyFont="1" applyBorder="1" applyAlignment="1">
      <alignment horizontal="center" vertical="center" wrapText="1"/>
    </xf>
    <xf numFmtId="0" fontId="32" fillId="7" borderId="1" xfId="0" applyFont="1" applyFill="1" applyBorder="1" applyAlignment="1">
      <alignment horizontal="left" vertical="center"/>
    </xf>
    <xf numFmtId="0" fontId="32" fillId="7" borderId="4" xfId="0" applyFont="1" applyFill="1" applyBorder="1" applyAlignment="1">
      <alignment horizontal="left" vertical="center"/>
    </xf>
    <xf numFmtId="0" fontId="27" fillId="0" borderId="25"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2" xfId="0" applyFont="1" applyBorder="1" applyAlignment="1">
      <alignment horizontal="center" vertical="center" wrapText="1"/>
    </xf>
    <xf numFmtId="0" fontId="51" fillId="17" borderId="3" xfId="0" applyFont="1" applyFill="1" applyBorder="1" applyAlignment="1">
      <alignment horizontal="center" vertical="center"/>
    </xf>
    <xf numFmtId="0" fontId="51" fillId="17" borderId="97" xfId="0" applyFont="1" applyFill="1" applyBorder="1" applyAlignment="1">
      <alignment horizontal="center" vertical="center"/>
    </xf>
    <xf numFmtId="0" fontId="27" fillId="0" borderId="79" xfId="0" applyFont="1" applyBorder="1" applyAlignment="1">
      <alignment horizontal="center" vertical="center" wrapText="1"/>
    </xf>
    <xf numFmtId="0" fontId="27" fillId="0" borderId="45" xfId="0" applyFont="1" applyBorder="1" applyAlignment="1">
      <alignment horizontal="center" vertical="center" wrapText="1"/>
    </xf>
    <xf numFmtId="0" fontId="32" fillId="7" borderId="2" xfId="0" applyFont="1" applyFill="1" applyBorder="1" applyAlignment="1">
      <alignment horizontal="center" vertical="center" wrapText="1"/>
    </xf>
    <xf numFmtId="0" fontId="27" fillId="0" borderId="108" xfId="0" applyFont="1" applyBorder="1" applyAlignment="1">
      <alignment horizontal="center" vertical="center" wrapText="1"/>
    </xf>
    <xf numFmtId="0" fontId="30" fillId="0" borderId="0" xfId="0" applyFont="1" applyAlignment="1">
      <alignment horizontal="center" vertical="center" wrapText="1"/>
    </xf>
    <xf numFmtId="0" fontId="30" fillId="0" borderId="45" xfId="0" applyFont="1" applyBorder="1" applyAlignment="1">
      <alignment horizontal="center" vertical="center" wrapText="1"/>
    </xf>
    <xf numFmtId="0" fontId="51" fillId="17" borderId="28" xfId="0" applyFont="1" applyFill="1" applyBorder="1" applyAlignment="1">
      <alignment horizontal="center" vertical="center"/>
    </xf>
    <xf numFmtId="0" fontId="51" fillId="17" borderId="33" xfId="0" applyFont="1" applyFill="1" applyBorder="1" applyAlignment="1">
      <alignment horizontal="center" vertical="center"/>
    </xf>
    <xf numFmtId="0" fontId="26" fillId="0" borderId="41"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66" xfId="0" applyFont="1" applyBorder="1" applyAlignment="1">
      <alignment horizontal="center" vertical="center" wrapText="1"/>
    </xf>
    <xf numFmtId="0" fontId="24" fillId="6" borderId="13" xfId="0" applyFont="1" applyFill="1" applyBorder="1" applyAlignment="1">
      <alignment horizontal="center" vertical="center"/>
    </xf>
    <xf numFmtId="0" fontId="24" fillId="6" borderId="19" xfId="0" applyFont="1" applyFill="1" applyBorder="1" applyAlignment="1">
      <alignment horizontal="center" vertical="center"/>
    </xf>
    <xf numFmtId="0" fontId="26" fillId="0" borderId="25" xfId="0" applyFont="1" applyBorder="1" applyAlignment="1">
      <alignment horizontal="center" vertical="center" wrapText="1"/>
    </xf>
    <xf numFmtId="0" fontId="24" fillId="6" borderId="43" xfId="0" applyFont="1" applyFill="1" applyBorder="1" applyAlignment="1">
      <alignment horizontal="center" vertical="center" wrapText="1"/>
    </xf>
    <xf numFmtId="0" fontId="24" fillId="6" borderId="42" xfId="0" applyFont="1" applyFill="1" applyBorder="1" applyAlignment="1">
      <alignment horizontal="center" vertical="center" wrapText="1"/>
    </xf>
    <xf numFmtId="0" fontId="27" fillId="0" borderId="28"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33" xfId="0" applyFont="1" applyBorder="1" applyAlignment="1">
      <alignment horizontal="center" vertical="center" wrapText="1"/>
    </xf>
    <xf numFmtId="0" fontId="50" fillId="0" borderId="3" xfId="0" applyFont="1" applyBorder="1" applyAlignment="1">
      <alignment horizontal="center" vertical="center" wrapText="1"/>
    </xf>
    <xf numFmtId="0" fontId="50" fillId="0" borderId="33" xfId="0" applyFont="1" applyBorder="1" applyAlignment="1">
      <alignment horizontal="center" vertical="center" wrapText="1"/>
    </xf>
    <xf numFmtId="0" fontId="27" fillId="0" borderId="82" xfId="0" applyFont="1" applyBorder="1" applyAlignment="1">
      <alignment horizontal="center" vertical="center" wrapText="1"/>
    </xf>
    <xf numFmtId="0" fontId="50" fillId="0" borderId="65" xfId="0" applyFont="1" applyBorder="1" applyAlignment="1">
      <alignment horizontal="center" vertical="center" wrapText="1"/>
    </xf>
    <xf numFmtId="0" fontId="50" fillId="0" borderId="83" xfId="0" applyFont="1" applyBorder="1" applyAlignment="1">
      <alignment horizontal="center" vertical="center" wrapText="1"/>
    </xf>
    <xf numFmtId="0" fontId="55" fillId="0" borderId="79" xfId="0" applyFont="1" applyBorder="1" applyAlignment="1">
      <alignment horizontal="center" vertical="center" wrapText="1"/>
    </xf>
    <xf numFmtId="0" fontId="57" fillId="0" borderId="45" xfId="0" applyFont="1" applyBorder="1" applyAlignment="1">
      <alignment horizontal="center" vertical="center" wrapText="1"/>
    </xf>
    <xf numFmtId="0" fontId="57" fillId="0" borderId="80" xfId="0" applyFont="1" applyBorder="1" applyAlignment="1">
      <alignment horizontal="center" vertical="center" wrapText="1"/>
    </xf>
    <xf numFmtId="0" fontId="55" fillId="0" borderId="28" xfId="0" applyFont="1" applyBorder="1" applyAlignment="1">
      <alignment horizontal="center" vertical="center" wrapText="1"/>
    </xf>
    <xf numFmtId="0" fontId="57" fillId="0" borderId="3" xfId="0" applyFont="1" applyBorder="1" applyAlignment="1">
      <alignment horizontal="center" vertical="center" wrapText="1"/>
    </xf>
    <xf numFmtId="0" fontId="57" fillId="0" borderId="33" xfId="0" applyFont="1" applyBorder="1" applyAlignment="1">
      <alignment horizontal="center" vertical="center" wrapText="1"/>
    </xf>
    <xf numFmtId="0" fontId="50" fillId="0" borderId="45"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33" xfId="0" applyFont="1" applyBorder="1" applyAlignment="1">
      <alignment horizontal="center" vertical="center" wrapText="1"/>
    </xf>
    <xf numFmtId="0" fontId="52" fillId="0" borderId="28" xfId="0" applyFont="1" applyBorder="1" applyAlignment="1">
      <alignment horizontal="center" vertical="center" wrapText="1"/>
    </xf>
    <xf numFmtId="0" fontId="18" fillId="5" borderId="7" xfId="0" applyFont="1" applyFill="1" applyBorder="1" applyAlignment="1">
      <alignment horizontal="center" vertical="center"/>
    </xf>
    <xf numFmtId="0" fontId="19" fillId="0" borderId="7" xfId="0" applyFont="1" applyBorder="1" applyAlignment="1">
      <alignment horizontal="center" vertical="center"/>
    </xf>
    <xf numFmtId="14" fontId="0" fillId="0" borderId="6" xfId="0" applyNumberFormat="1" applyBorder="1" applyAlignment="1">
      <alignment horizontal="center"/>
    </xf>
    <xf numFmtId="0" fontId="0" fillId="0" borderId="6" xfId="0" applyBorder="1" applyAlignment="1">
      <alignment horizontal="right"/>
    </xf>
    <xf numFmtId="0" fontId="0" fillId="0" borderId="7" xfId="0" applyBorder="1" applyAlignment="1">
      <alignment horizontal="right"/>
    </xf>
    <xf numFmtId="0" fontId="24" fillId="6" borderId="10" xfId="0" applyFont="1" applyFill="1" applyBorder="1" applyAlignment="1">
      <alignment horizontal="center" vertical="center" wrapText="1"/>
    </xf>
    <xf numFmtId="0" fontId="24" fillId="6" borderId="11" xfId="0" applyFont="1" applyFill="1" applyBorder="1" applyAlignment="1">
      <alignment horizontal="center" vertical="center" wrapText="1"/>
    </xf>
    <xf numFmtId="0" fontId="24" fillId="6" borderId="12" xfId="0" applyFont="1" applyFill="1" applyBorder="1" applyAlignment="1">
      <alignment horizontal="center" vertical="center" wrapText="1"/>
    </xf>
    <xf numFmtId="0" fontId="24" fillId="6" borderId="43" xfId="0" applyFont="1" applyFill="1" applyBorder="1" applyAlignment="1">
      <alignment horizontal="center" vertical="center"/>
    </xf>
    <xf numFmtId="0" fontId="24" fillId="6" borderId="44" xfId="0" applyFont="1" applyFill="1" applyBorder="1" applyAlignment="1">
      <alignment horizontal="center" vertical="center"/>
    </xf>
    <xf numFmtId="0" fontId="24" fillId="6" borderId="63" xfId="0" applyFont="1" applyFill="1" applyBorder="1" applyAlignment="1">
      <alignment horizontal="center" vertical="center"/>
    </xf>
    <xf numFmtId="0" fontId="24" fillId="6" borderId="16" xfId="0" applyFont="1" applyFill="1" applyBorder="1" applyAlignment="1">
      <alignment horizontal="center" vertical="center" wrapText="1"/>
    </xf>
    <xf numFmtId="0" fontId="24" fillId="6" borderId="17" xfId="0" applyFont="1" applyFill="1" applyBorder="1" applyAlignment="1">
      <alignment horizontal="center" vertical="center" wrapText="1"/>
    </xf>
    <xf numFmtId="0" fontId="24" fillId="6" borderId="66" xfId="0" applyFont="1" applyFill="1" applyBorder="1" applyAlignment="1">
      <alignment horizontal="center" vertical="center" wrapText="1"/>
    </xf>
    <xf numFmtId="0" fontId="24" fillId="6" borderId="17" xfId="0" applyFont="1" applyFill="1" applyBorder="1" applyAlignment="1">
      <alignment horizontal="center" vertical="center"/>
    </xf>
    <xf numFmtId="0" fontId="24" fillId="6" borderId="0" xfId="0" applyFont="1" applyFill="1" applyAlignment="1">
      <alignment horizontal="center" vertical="center"/>
    </xf>
    <xf numFmtId="0" fontId="24" fillId="6" borderId="18" xfId="0" applyFont="1" applyFill="1" applyBorder="1" applyAlignment="1">
      <alignment horizontal="center" vertical="center" wrapText="1"/>
    </xf>
    <xf numFmtId="0" fontId="24" fillId="6" borderId="65" xfId="0" applyFont="1" applyFill="1" applyBorder="1" applyAlignment="1">
      <alignment horizontal="center" vertical="center" wrapText="1"/>
    </xf>
    <xf numFmtId="0" fontId="21" fillId="8" borderId="21" xfId="0" applyFont="1" applyFill="1" applyBorder="1" applyAlignment="1">
      <alignment horizontal="center" vertical="center" wrapText="1"/>
    </xf>
    <xf numFmtId="0" fontId="24" fillId="8" borderId="23" xfId="0" applyFont="1" applyFill="1" applyBorder="1" applyAlignment="1">
      <alignment horizontal="center" vertical="center" wrapText="1"/>
    </xf>
    <xf numFmtId="0" fontId="24" fillId="8" borderId="26" xfId="0" applyFont="1" applyFill="1" applyBorder="1" applyAlignment="1">
      <alignment horizontal="center" vertical="center" wrapText="1"/>
    </xf>
    <xf numFmtId="0" fontId="24" fillId="8" borderId="31" xfId="0" applyFont="1" applyFill="1" applyBorder="1" applyAlignment="1">
      <alignment horizontal="center" vertical="center" wrapText="1"/>
    </xf>
    <xf numFmtId="0" fontId="24" fillId="8" borderId="35"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24" fillId="8" borderId="3" xfId="0" applyFont="1" applyFill="1" applyBorder="1" applyAlignment="1">
      <alignment horizontal="center" vertical="center" wrapText="1"/>
    </xf>
    <xf numFmtId="0" fontId="25" fillId="0" borderId="14"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24" xfId="0" applyFont="1" applyBorder="1" applyAlignment="1">
      <alignment horizontal="center" vertical="center" wrapText="1"/>
    </xf>
    <xf numFmtId="0" fontId="24" fillId="6" borderId="42" xfId="0" applyFont="1" applyFill="1" applyBorder="1" applyAlignment="1">
      <alignment horizontal="center" vertical="center"/>
    </xf>
    <xf numFmtId="0" fontId="25" fillId="0" borderId="77" xfId="0" applyFont="1" applyBorder="1" applyAlignment="1">
      <alignment horizontal="left" vertical="center" wrapText="1"/>
    </xf>
    <xf numFmtId="0" fontId="21" fillId="8" borderId="1" xfId="0" applyFont="1" applyFill="1" applyBorder="1" applyAlignment="1">
      <alignment horizontal="center" vertical="center" wrapText="1"/>
    </xf>
    <xf numFmtId="0" fontId="25" fillId="0" borderId="34" xfId="0" applyFont="1" applyBorder="1" applyAlignment="1">
      <alignment horizontal="center" vertical="center" wrapText="1"/>
    </xf>
    <xf numFmtId="0" fontId="51" fillId="17" borderId="1" xfId="0" applyFont="1" applyFill="1" applyBorder="1" applyAlignment="1">
      <alignment horizontal="center" vertical="center"/>
    </xf>
    <xf numFmtId="0" fontId="27" fillId="0" borderId="97" xfId="0" applyFont="1" applyBorder="1" applyAlignment="1">
      <alignment horizontal="center" vertical="center" wrapText="1"/>
    </xf>
    <xf numFmtId="0" fontId="52" fillId="0" borderId="3" xfId="0" applyFont="1" applyBorder="1" applyAlignment="1">
      <alignment horizontal="center" vertical="center" wrapText="1"/>
    </xf>
    <xf numFmtId="0" fontId="52" fillId="0" borderId="33" xfId="0" applyFont="1" applyBorder="1" applyAlignment="1">
      <alignment horizontal="center" vertical="center" wrapText="1"/>
    </xf>
    <xf numFmtId="0" fontId="25" fillId="0" borderId="78" xfId="0" applyFont="1" applyBorder="1" applyAlignment="1">
      <alignment horizontal="left" vertical="center" wrapText="1"/>
    </xf>
    <xf numFmtId="0" fontId="25" fillId="0" borderId="0" xfId="0" applyFont="1" applyAlignment="1">
      <alignment horizontal="left" vertical="center" wrapText="1"/>
    </xf>
    <xf numFmtId="0" fontId="25" fillId="0" borderId="98" xfId="0" applyFont="1" applyBorder="1" applyAlignment="1">
      <alignment horizontal="left" vertical="center" wrapText="1"/>
    </xf>
    <xf numFmtId="0" fontId="24" fillId="8" borderId="4" xfId="0" applyFont="1" applyFill="1" applyBorder="1" applyAlignment="1">
      <alignment horizontal="center" vertical="center" wrapText="1"/>
    </xf>
    <xf numFmtId="0" fontId="27" fillId="0" borderId="88" xfId="0" applyFont="1" applyBorder="1" applyAlignment="1">
      <alignment horizontal="center" vertical="center" wrapText="1"/>
    </xf>
    <xf numFmtId="0" fontId="21" fillId="16" borderId="48" xfId="0" applyFont="1" applyFill="1" applyBorder="1" applyAlignment="1">
      <alignment horizontal="center" vertical="center" wrapText="1"/>
    </xf>
    <xf numFmtId="0" fontId="21" fillId="16" borderId="15" xfId="0" applyFont="1" applyFill="1" applyBorder="1" applyAlignment="1">
      <alignment horizontal="center" vertical="center" wrapText="1"/>
    </xf>
    <xf numFmtId="0" fontId="21" fillId="16" borderId="64" xfId="0" applyFont="1" applyFill="1" applyBorder="1" applyAlignment="1">
      <alignment horizontal="center" vertical="center" wrapText="1"/>
    </xf>
    <xf numFmtId="0" fontId="52" fillId="0" borderId="29" xfId="0" applyFont="1" applyBorder="1" applyAlignment="1">
      <alignment horizontal="center" vertical="center" wrapText="1"/>
    </xf>
    <xf numFmtId="0" fontId="52" fillId="0" borderId="24" xfId="0" applyFont="1" applyBorder="1" applyAlignment="1">
      <alignment horizontal="center" vertical="center" wrapText="1"/>
    </xf>
    <xf numFmtId="0" fontId="25" fillId="0" borderId="30" xfId="0" applyFont="1" applyBorder="1" applyAlignment="1">
      <alignment horizontal="left" vertical="center" wrapText="1"/>
    </xf>
    <xf numFmtId="0" fontId="25" fillId="0" borderId="19" xfId="0" applyFont="1" applyBorder="1" applyAlignment="1">
      <alignment horizontal="left" vertical="center" wrapText="1"/>
    </xf>
    <xf numFmtId="0" fontId="27" fillId="0" borderId="14" xfId="0" applyFont="1" applyBorder="1" applyAlignment="1">
      <alignment horizontal="center" vertical="center" wrapText="1"/>
    </xf>
    <xf numFmtId="0" fontId="27" fillId="0" borderId="24" xfId="0" applyFont="1" applyBorder="1" applyAlignment="1">
      <alignment horizontal="center" vertical="center" wrapText="1"/>
    </xf>
    <xf numFmtId="0" fontId="21" fillId="6" borderId="0" xfId="0" applyFont="1" applyFill="1" applyAlignment="1">
      <alignment horizontal="center" vertical="center" wrapText="1"/>
    </xf>
    <xf numFmtId="0" fontId="21" fillId="16" borderId="21" xfId="0" applyFont="1" applyFill="1" applyBorder="1" applyAlignment="1">
      <alignment horizontal="center" vertical="center" wrapText="1"/>
    </xf>
    <xf numFmtId="0" fontId="24" fillId="16" borderId="23" xfId="0" applyFont="1" applyFill="1" applyBorder="1" applyAlignment="1">
      <alignment horizontal="center" vertical="center" wrapText="1"/>
    </xf>
    <xf numFmtId="0" fontId="24" fillId="16" borderId="26" xfId="0" applyFont="1" applyFill="1" applyBorder="1" applyAlignment="1">
      <alignment horizontal="center" vertical="center" wrapText="1"/>
    </xf>
    <xf numFmtId="0" fontId="24" fillId="16" borderId="31" xfId="0" applyFont="1" applyFill="1" applyBorder="1" applyAlignment="1">
      <alignment horizontal="center" vertical="center" wrapText="1"/>
    </xf>
    <xf numFmtId="0" fontId="24" fillId="16" borderId="35" xfId="0" applyFont="1" applyFill="1" applyBorder="1" applyAlignment="1">
      <alignment horizontal="center" vertical="center" wrapText="1"/>
    </xf>
    <xf numFmtId="0" fontId="25" fillId="0" borderId="25" xfId="0" applyFont="1" applyBorder="1" applyAlignment="1">
      <alignment horizontal="left" vertical="center" wrapText="1"/>
    </xf>
    <xf numFmtId="0" fontId="27" fillId="0" borderId="66" xfId="0" applyFont="1" applyBorder="1" applyAlignment="1">
      <alignment horizontal="center" vertical="center" wrapText="1"/>
    </xf>
    <xf numFmtId="0" fontId="27" fillId="0" borderId="32"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88"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103" xfId="0" applyFont="1" applyBorder="1" applyAlignment="1">
      <alignment horizontal="center" vertical="center" wrapText="1"/>
    </xf>
    <xf numFmtId="0" fontId="27" fillId="0" borderId="102" xfId="0" applyFont="1" applyBorder="1" applyAlignment="1">
      <alignment horizontal="center" vertical="center" wrapText="1"/>
    </xf>
    <xf numFmtId="0" fontId="27" fillId="0" borderId="76"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77" xfId="0" applyFont="1" applyBorder="1" applyAlignment="1">
      <alignment horizontal="center" vertical="center" wrapText="1"/>
    </xf>
    <xf numFmtId="0" fontId="21" fillId="16" borderId="75"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24" fillId="6" borderId="25" xfId="0" applyFont="1" applyFill="1" applyBorder="1" applyAlignment="1">
      <alignment horizontal="center" vertical="center"/>
    </xf>
    <xf numFmtId="0" fontId="26" fillId="0" borderId="19" xfId="0" applyFont="1" applyBorder="1" applyAlignment="1">
      <alignment horizontal="left" vertical="center" wrapText="1"/>
    </xf>
    <xf numFmtId="0" fontId="21" fillId="6" borderId="22" xfId="0" applyFont="1" applyFill="1" applyBorder="1" applyAlignment="1">
      <alignment horizontal="center" vertical="center"/>
    </xf>
    <xf numFmtId="0" fontId="21" fillId="6" borderId="24" xfId="0" applyFont="1" applyFill="1" applyBorder="1" applyAlignment="1">
      <alignment horizontal="center" vertical="center"/>
    </xf>
    <xf numFmtId="0" fontId="21" fillId="6" borderId="47" xfId="0" applyFont="1" applyFill="1" applyBorder="1" applyAlignment="1">
      <alignment horizontal="center" vertical="center"/>
    </xf>
    <xf numFmtId="0" fontId="32" fillId="7" borderId="1" xfId="0" applyFont="1" applyFill="1" applyBorder="1" applyAlignment="1">
      <alignment horizontal="center" vertical="center" wrapText="1"/>
    </xf>
    <xf numFmtId="0" fontId="32" fillId="7" borderId="3" xfId="0" applyFont="1" applyFill="1" applyBorder="1" applyAlignment="1">
      <alignment horizontal="center" vertical="center" wrapText="1"/>
    </xf>
    <xf numFmtId="0" fontId="32" fillId="7" borderId="4" xfId="0" applyFont="1" applyFill="1" applyBorder="1" applyAlignment="1">
      <alignment horizontal="center" vertical="center" wrapText="1"/>
    </xf>
    <xf numFmtId="0" fontId="60" fillId="17" borderId="27" xfId="0" applyFont="1" applyFill="1" applyBorder="1" applyAlignment="1">
      <alignment horizontal="center" vertical="center"/>
    </xf>
    <xf numFmtId="0" fontId="60" fillId="17" borderId="14" xfId="0" applyFont="1" applyFill="1" applyBorder="1" applyAlignment="1">
      <alignment horizontal="center" vertical="center"/>
    </xf>
    <xf numFmtId="0" fontId="60" fillId="17" borderId="32" xfId="0" applyFont="1" applyFill="1" applyBorder="1" applyAlignment="1">
      <alignment horizontal="center" vertical="center"/>
    </xf>
    <xf numFmtId="0" fontId="27" fillId="0" borderId="65" xfId="0" applyFont="1" applyBorder="1" applyAlignment="1">
      <alignment horizontal="center" vertical="center" wrapText="1"/>
    </xf>
    <xf numFmtId="0" fontId="27" fillId="0" borderId="83" xfId="0" applyFont="1" applyBorder="1" applyAlignment="1">
      <alignment horizontal="center" vertical="center" wrapText="1"/>
    </xf>
    <xf numFmtId="0" fontId="21" fillId="9" borderId="21" xfId="0" applyFont="1" applyFill="1" applyBorder="1" applyAlignment="1">
      <alignment horizontal="center" vertical="center" wrapText="1"/>
    </xf>
    <xf numFmtId="0" fontId="21" fillId="9" borderId="23" xfId="0" applyFont="1" applyFill="1" applyBorder="1" applyAlignment="1">
      <alignment horizontal="center" vertical="center" wrapText="1"/>
    </xf>
    <xf numFmtId="0" fontId="24" fillId="9" borderId="23" xfId="0" applyFont="1" applyFill="1" applyBorder="1" applyAlignment="1">
      <alignment horizontal="center" vertical="center" wrapText="1"/>
    </xf>
    <xf numFmtId="0" fontId="24" fillId="9" borderId="31" xfId="0" applyFont="1" applyFill="1" applyBorder="1" applyAlignment="1">
      <alignment horizontal="center" vertical="center" wrapText="1"/>
    </xf>
    <xf numFmtId="0" fontId="24" fillId="9" borderId="35" xfId="0" applyFont="1" applyFill="1" applyBorder="1" applyAlignment="1">
      <alignment horizontal="center" vertical="center" wrapText="1"/>
    </xf>
    <xf numFmtId="0" fontId="25" fillId="0" borderId="100" xfId="0" applyFont="1" applyBorder="1" applyAlignment="1">
      <alignment horizontal="left" vertical="center" wrapText="1"/>
    </xf>
    <xf numFmtId="0" fontId="25" fillId="0" borderId="101" xfId="0" applyFont="1" applyBorder="1" applyAlignment="1">
      <alignment horizontal="left" vertical="center" wrapText="1"/>
    </xf>
    <xf numFmtId="0" fontId="21" fillId="9" borderId="3" xfId="0" applyFont="1" applyFill="1" applyBorder="1" applyAlignment="1">
      <alignment horizontal="center" vertical="center" wrapText="1"/>
    </xf>
    <xf numFmtId="0" fontId="24" fillId="9" borderId="3" xfId="0" applyFont="1" applyFill="1" applyBorder="1" applyAlignment="1">
      <alignment horizontal="center" vertical="center" wrapText="1"/>
    </xf>
    <xf numFmtId="0" fontId="21" fillId="9" borderId="9" xfId="0" applyFont="1" applyFill="1" applyBorder="1" applyAlignment="1">
      <alignment horizontal="center" vertical="center" wrapText="1"/>
    </xf>
    <xf numFmtId="0" fontId="21" fillId="9" borderId="15" xfId="0" applyFont="1" applyFill="1" applyBorder="1" applyAlignment="1">
      <alignment horizontal="center" vertical="center" wrapText="1"/>
    </xf>
    <xf numFmtId="0" fontId="24" fillId="9" borderId="15"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24" fillId="9" borderId="4" xfId="0" applyFont="1" applyFill="1" applyBorder="1" applyAlignment="1">
      <alignment horizontal="center" vertical="center" wrapText="1"/>
    </xf>
    <xf numFmtId="0" fontId="60" fillId="17" borderId="41" xfId="0" applyFont="1" applyFill="1" applyBorder="1" applyAlignment="1">
      <alignment horizontal="center" vertical="center"/>
    </xf>
    <xf numFmtId="0" fontId="60" fillId="17" borderId="42" xfId="0" applyFont="1" applyFill="1" applyBorder="1" applyAlignment="1">
      <alignment horizontal="center" vertical="center"/>
    </xf>
    <xf numFmtId="0" fontId="60" fillId="17" borderId="66" xfId="0" applyFont="1" applyFill="1" applyBorder="1" applyAlignment="1">
      <alignment horizontal="center" vertical="center"/>
    </xf>
    <xf numFmtId="0" fontId="53" fillId="0" borderId="28" xfId="0" applyFont="1" applyBorder="1" applyAlignment="1">
      <alignment horizontal="center" vertical="center" wrapText="1"/>
    </xf>
    <xf numFmtId="0" fontId="53" fillId="0" borderId="3" xfId="0" applyFont="1" applyBorder="1" applyAlignment="1">
      <alignment horizontal="center" vertical="center" wrapText="1"/>
    </xf>
    <xf numFmtId="0" fontId="60" fillId="17" borderId="28" xfId="0" applyFont="1" applyFill="1" applyBorder="1" applyAlignment="1">
      <alignment horizontal="center" vertical="center"/>
    </xf>
    <xf numFmtId="0" fontId="60" fillId="17" borderId="3" xfId="0" applyFont="1" applyFill="1" applyBorder="1" applyAlignment="1">
      <alignment horizontal="center" vertical="center"/>
    </xf>
    <xf numFmtId="0" fontId="60" fillId="17" borderId="33" xfId="0" applyFont="1" applyFill="1" applyBorder="1" applyAlignment="1">
      <alignment horizontal="center" vertical="center"/>
    </xf>
    <xf numFmtId="0" fontId="24" fillId="6" borderId="9" xfId="0" applyFont="1" applyFill="1" applyBorder="1" applyAlignment="1">
      <alignment horizontal="center" vertical="center"/>
    </xf>
    <xf numFmtId="0" fontId="24" fillId="6" borderId="15" xfId="0" applyFont="1" applyFill="1" applyBorder="1" applyAlignment="1">
      <alignment horizontal="center" vertical="center"/>
    </xf>
    <xf numFmtId="0" fontId="24" fillId="6" borderId="98" xfId="0" applyFont="1" applyFill="1" applyBorder="1" applyAlignment="1">
      <alignment horizontal="center" vertical="center" wrapText="1"/>
    </xf>
    <xf numFmtId="0" fontId="60" fillId="17" borderId="29" xfId="0" applyFont="1" applyFill="1" applyBorder="1" applyAlignment="1">
      <alignment horizontal="center" vertical="center"/>
    </xf>
    <xf numFmtId="0" fontId="60" fillId="17" borderId="24" xfId="0" applyFont="1" applyFill="1" applyBorder="1" applyAlignment="1">
      <alignment horizontal="center" vertical="center"/>
    </xf>
    <xf numFmtId="0" fontId="60" fillId="17" borderId="34" xfId="0" applyFont="1" applyFill="1" applyBorder="1" applyAlignment="1">
      <alignment horizontal="center" vertical="center"/>
    </xf>
    <xf numFmtId="0" fontId="21" fillId="15" borderId="1" xfId="0" applyFont="1" applyFill="1" applyBorder="1" applyAlignment="1">
      <alignment horizontal="center" vertical="center" wrapText="1"/>
    </xf>
    <xf numFmtId="0" fontId="21" fillId="15" borderId="3" xfId="0" applyFont="1" applyFill="1" applyBorder="1" applyAlignment="1">
      <alignment horizontal="center" vertical="center" wrapText="1"/>
    </xf>
    <xf numFmtId="0" fontId="21" fillId="15" borderId="4" xfId="0" applyFont="1" applyFill="1" applyBorder="1" applyAlignment="1">
      <alignment horizontal="center" vertical="center" wrapText="1"/>
    </xf>
    <xf numFmtId="0" fontId="25" fillId="0" borderId="82" xfId="0" applyFont="1" applyBorder="1" applyAlignment="1">
      <alignment horizontal="left" vertical="center" wrapText="1"/>
    </xf>
    <xf numFmtId="0" fontId="25" fillId="0" borderId="65" xfId="0" applyFont="1" applyBorder="1" applyAlignment="1">
      <alignment horizontal="left" vertical="center" wrapText="1"/>
    </xf>
    <xf numFmtId="0" fontId="21" fillId="15" borderId="21" xfId="0" applyFont="1" applyFill="1" applyBorder="1" applyAlignment="1">
      <alignment horizontal="center" vertical="center" wrapText="1"/>
    </xf>
    <xf numFmtId="0" fontId="24" fillId="15" borderId="23" xfId="0" applyFont="1" applyFill="1" applyBorder="1" applyAlignment="1">
      <alignment horizontal="center" vertical="center" wrapText="1"/>
    </xf>
    <xf numFmtId="0" fontId="24" fillId="15" borderId="26" xfId="0" applyFont="1" applyFill="1" applyBorder="1" applyAlignment="1">
      <alignment horizontal="center" vertical="center" wrapText="1"/>
    </xf>
    <xf numFmtId="0" fontId="24" fillId="15" borderId="31" xfId="0" applyFont="1" applyFill="1" applyBorder="1" applyAlignment="1">
      <alignment horizontal="center" vertical="center" wrapText="1"/>
    </xf>
    <xf numFmtId="0" fontId="24" fillId="15" borderId="35" xfId="0" applyFont="1" applyFill="1" applyBorder="1" applyAlignment="1">
      <alignment horizontal="center" vertical="center" wrapText="1"/>
    </xf>
    <xf numFmtId="0" fontId="24" fillId="15" borderId="3" xfId="0" applyFont="1" applyFill="1" applyBorder="1" applyAlignment="1">
      <alignment horizontal="center" vertical="center" wrapText="1"/>
    </xf>
    <xf numFmtId="0" fontId="24" fillId="15" borderId="4" xfId="0" applyFont="1" applyFill="1" applyBorder="1" applyAlignment="1">
      <alignment horizontal="center" vertical="center" wrapText="1"/>
    </xf>
    <xf numFmtId="0" fontId="26" fillId="0" borderId="65" xfId="0" applyFont="1" applyBorder="1" applyAlignment="1">
      <alignment horizontal="left" vertical="center" wrapText="1"/>
    </xf>
    <xf numFmtId="0" fontId="27" fillId="0" borderId="41" xfId="0" applyFont="1" applyBorder="1" applyAlignment="1">
      <alignment vertical="center" wrapText="1"/>
    </xf>
    <xf numFmtId="0" fontId="27" fillId="0" borderId="42" xfId="0" applyFont="1" applyBorder="1" applyAlignment="1">
      <alignment vertical="center" wrapText="1"/>
    </xf>
    <xf numFmtId="0" fontId="21" fillId="10" borderId="1"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24" fillId="10" borderId="4" xfId="0" applyFont="1" applyFill="1" applyBorder="1" applyAlignment="1">
      <alignment horizontal="center" vertical="center" wrapText="1"/>
    </xf>
    <xf numFmtId="0" fontId="0" fillId="0" borderId="2" xfId="0" applyBorder="1" applyAlignment="1">
      <alignment horizontal="center" vertical="top" wrapText="1"/>
    </xf>
    <xf numFmtId="0" fontId="21" fillId="10" borderId="21" xfId="0" applyFont="1" applyFill="1" applyBorder="1" applyAlignment="1">
      <alignment horizontal="center" vertical="center" wrapText="1"/>
    </xf>
    <xf numFmtId="0" fontId="21" fillId="10" borderId="23" xfId="0" applyFont="1" applyFill="1" applyBorder="1" applyAlignment="1">
      <alignment horizontal="center" vertical="center" wrapText="1"/>
    </xf>
    <xf numFmtId="0" fontId="24" fillId="10" borderId="23" xfId="0" applyFont="1" applyFill="1" applyBorder="1" applyAlignment="1">
      <alignment horizontal="center" vertical="center" wrapText="1"/>
    </xf>
    <xf numFmtId="0" fontId="24" fillId="10" borderId="26" xfId="0" applyFont="1" applyFill="1" applyBorder="1" applyAlignment="1">
      <alignment horizontal="center" vertical="center" wrapText="1"/>
    </xf>
    <xf numFmtId="0" fontId="24" fillId="10" borderId="31" xfId="0" applyFont="1" applyFill="1" applyBorder="1" applyAlignment="1">
      <alignment horizontal="center" vertical="center" wrapText="1"/>
    </xf>
    <xf numFmtId="0" fontId="24" fillId="10" borderId="35" xfId="0" applyFont="1" applyFill="1" applyBorder="1" applyAlignment="1">
      <alignment horizontal="center" vertical="center" wrapText="1"/>
    </xf>
    <xf numFmtId="0" fontId="26" fillId="0" borderId="15" xfId="0" applyFont="1" applyBorder="1" applyAlignment="1">
      <alignment horizontal="left" vertical="center" wrapText="1"/>
    </xf>
    <xf numFmtId="0" fontId="26" fillId="0" borderId="77" xfId="0" applyFont="1" applyBorder="1" applyAlignment="1">
      <alignment horizontal="left" vertical="center" wrapText="1"/>
    </xf>
    <xf numFmtId="0" fontId="21" fillId="10" borderId="3" xfId="0" applyFont="1" applyFill="1" applyBorder="1" applyAlignment="1">
      <alignment horizontal="center" vertical="center" wrapText="1"/>
    </xf>
    <xf numFmtId="0" fontId="21" fillId="10" borderId="85" xfId="0" applyFont="1" applyFill="1" applyBorder="1" applyAlignment="1">
      <alignment horizontal="center" vertical="center" wrapText="1"/>
    </xf>
    <xf numFmtId="0" fontId="21" fillId="10" borderId="86" xfId="0" applyFont="1" applyFill="1" applyBorder="1" applyAlignment="1">
      <alignment horizontal="center" vertical="center" wrapText="1"/>
    </xf>
    <xf numFmtId="0" fontId="21" fillId="10" borderId="9" xfId="0" applyFont="1" applyFill="1" applyBorder="1" applyAlignment="1">
      <alignment horizontal="center" vertical="center" wrapText="1"/>
    </xf>
    <xf numFmtId="0" fontId="21" fillId="10" borderId="15" xfId="0" applyFont="1" applyFill="1" applyBorder="1" applyAlignment="1">
      <alignment horizontal="center" vertical="center" wrapText="1"/>
    </xf>
    <xf numFmtId="0" fontId="21" fillId="10" borderId="64" xfId="0" applyFont="1" applyFill="1" applyBorder="1" applyAlignment="1">
      <alignment horizontal="center" vertical="center" wrapText="1"/>
    </xf>
    <xf numFmtId="0" fontId="18" fillId="5" borderId="2" xfId="0" applyFont="1" applyFill="1" applyBorder="1" applyAlignment="1">
      <alignment horizontal="center" vertical="center"/>
    </xf>
    <xf numFmtId="0" fontId="19" fillId="0" borderId="2" xfId="0" applyFont="1" applyBorder="1" applyAlignment="1">
      <alignment horizontal="center" vertical="center"/>
    </xf>
    <xf numFmtId="0" fontId="0" fillId="0" borderId="2" xfId="0" applyBorder="1" applyAlignment="1">
      <alignment horizontal="center"/>
    </xf>
    <xf numFmtId="0" fontId="26" fillId="3" borderId="0" xfId="0" applyFont="1" applyFill="1" applyAlignment="1">
      <alignment horizontal="center" vertical="center" wrapText="1"/>
    </xf>
    <xf numFmtId="0" fontId="25" fillId="3" borderId="0" xfId="0" applyFont="1" applyFill="1" applyAlignment="1">
      <alignment horizontal="center" vertical="center" wrapText="1"/>
    </xf>
    <xf numFmtId="0" fontId="24" fillId="3" borderId="0" xfId="0" applyFont="1" applyFill="1" applyAlignment="1">
      <alignment horizontal="center" vertical="center" wrapText="1"/>
    </xf>
    <xf numFmtId="0" fontId="32" fillId="3" borderId="0" xfId="0" applyFont="1" applyFill="1" applyAlignment="1">
      <alignment horizontal="left" vertical="center"/>
    </xf>
    <xf numFmtId="0" fontId="0" fillId="3" borderId="0" xfId="0" applyFill="1" applyAlignment="1">
      <alignment horizontal="left" vertical="top" wrapText="1"/>
    </xf>
    <xf numFmtId="0" fontId="26" fillId="3" borderId="0" xfId="0" applyFont="1" applyFill="1" applyAlignment="1">
      <alignment vertical="top" wrapText="1"/>
    </xf>
    <xf numFmtId="0" fontId="32" fillId="3" borderId="0" xfId="0" applyFont="1" applyFill="1" applyAlignment="1">
      <alignment horizontal="center" vertical="center" wrapText="1"/>
    </xf>
    <xf numFmtId="0" fontId="30" fillId="3" borderId="0" xfId="0" applyFont="1" applyFill="1" applyAlignment="1">
      <alignment horizontal="center" vertical="center" wrapText="1"/>
    </xf>
  </cellXfs>
  <cellStyles count="7">
    <cellStyle name="Lien hypertexte" xfId="6" builtinId="8"/>
    <cellStyle name="Milliers" xfId="1" builtinId="3"/>
    <cellStyle name="Normal" xfId="0" builtinId="0"/>
    <cellStyle name="Normal 2" xfId="3" xr:uid="{00000000-0005-0000-0000-00001F000000}"/>
    <cellStyle name="Normal 2 2" xfId="4" xr:uid="{00000000-0005-0000-0000-000031000000}"/>
    <cellStyle name="Normal 4" xfId="2" xr:uid="{00000000-0005-0000-0000-000014000000}"/>
    <cellStyle name="Pourcentage" xfId="5" builtinId="5"/>
  </cellStyles>
  <dxfs count="251">
    <dxf>
      <fill>
        <patternFill>
          <bgColor theme="9" tint="0.79998168889431442"/>
        </patternFill>
      </fill>
    </dxf>
    <dxf>
      <fill>
        <patternFill patternType="solid">
          <bgColor theme="5" tint="0.39991454817346722"/>
        </patternFill>
      </fill>
    </dxf>
    <dxf>
      <fill>
        <patternFill patternType="solid">
          <bgColor theme="5" tint="0.59996337778862885"/>
        </patternFill>
      </fill>
    </dxf>
    <dxf>
      <fill>
        <patternFill patternType="solid">
          <bgColor theme="5" tint="0.79995117038483843"/>
        </patternFill>
      </fill>
    </dxf>
    <dxf>
      <fill>
        <patternFill patternType="solid">
          <bgColor theme="5" tint="0.39991454817346722"/>
        </patternFill>
      </fill>
    </dxf>
    <dxf>
      <fill>
        <patternFill patternType="solid">
          <bgColor theme="5" tint="0.59996337778862885"/>
        </patternFill>
      </fill>
    </dxf>
    <dxf>
      <fill>
        <patternFill patternType="solid">
          <bgColor theme="5" tint="0.79995117038483843"/>
        </patternFill>
      </fill>
    </dxf>
    <dxf>
      <font>
        <b/>
        <i val="0"/>
        <color theme="5"/>
      </font>
      <fill>
        <patternFill>
          <bgColor theme="5" tint="0.39994506668294322"/>
        </patternFill>
      </fill>
    </dxf>
    <dxf>
      <font>
        <color rgb="FFC00000"/>
      </font>
      <fill>
        <patternFill>
          <bgColor rgb="FFFF6969"/>
        </patternFill>
      </fill>
    </dxf>
    <dxf>
      <font>
        <color theme="9"/>
      </font>
      <fill>
        <patternFill>
          <bgColor theme="9" tint="0.59996337778862885"/>
        </patternFill>
      </fill>
    </dxf>
    <dxf>
      <font>
        <color theme="9" tint="-0.499984740745262"/>
      </font>
      <fill>
        <patternFill>
          <bgColor rgb="FF00B050"/>
        </patternFill>
      </fill>
    </dxf>
    <dxf>
      <font>
        <b/>
        <i val="0"/>
        <color theme="5"/>
      </font>
      <fill>
        <patternFill>
          <bgColor theme="5" tint="0.39994506668294322"/>
        </patternFill>
      </fill>
    </dxf>
    <dxf>
      <font>
        <color rgb="FFC00000"/>
      </font>
      <fill>
        <patternFill>
          <bgColor rgb="FFFF6969"/>
        </patternFill>
      </fill>
    </dxf>
    <dxf>
      <font>
        <color theme="9"/>
      </font>
      <fill>
        <patternFill>
          <bgColor theme="9" tint="0.59996337778862885"/>
        </patternFill>
      </fill>
    </dxf>
    <dxf>
      <font>
        <color theme="9" tint="-0.499984740745262"/>
      </font>
      <fill>
        <patternFill>
          <bgColor rgb="FF00B050"/>
        </patternFill>
      </fill>
    </dxf>
    <dxf>
      <font>
        <b/>
        <i val="0"/>
        <color theme="5"/>
      </font>
      <fill>
        <patternFill>
          <bgColor theme="5" tint="0.39994506668294322"/>
        </patternFill>
      </fill>
    </dxf>
    <dxf>
      <font>
        <color rgb="FFC00000"/>
      </font>
      <fill>
        <patternFill>
          <bgColor rgb="FFFF6969"/>
        </patternFill>
      </fill>
    </dxf>
    <dxf>
      <font>
        <color theme="9"/>
      </font>
      <fill>
        <patternFill>
          <bgColor theme="9" tint="0.59996337778862885"/>
        </patternFill>
      </fill>
    </dxf>
    <dxf>
      <font>
        <color theme="9" tint="-0.499984740745262"/>
      </font>
      <fill>
        <patternFill>
          <bgColor rgb="FF00B050"/>
        </patternFill>
      </fill>
    </dxf>
    <dxf>
      <font>
        <b/>
        <i val="0"/>
        <color theme="5"/>
      </font>
      <fill>
        <patternFill>
          <bgColor theme="5" tint="0.39994506668294322"/>
        </patternFill>
      </fill>
    </dxf>
    <dxf>
      <font>
        <color rgb="FFC00000"/>
      </font>
      <fill>
        <patternFill>
          <bgColor rgb="FFFF6969"/>
        </patternFill>
      </fill>
    </dxf>
    <dxf>
      <font>
        <color theme="9"/>
      </font>
      <fill>
        <patternFill>
          <bgColor theme="9" tint="0.59996337778862885"/>
        </patternFill>
      </fill>
    </dxf>
    <dxf>
      <font>
        <color theme="9" tint="-0.499984740745262"/>
      </font>
      <fill>
        <patternFill>
          <bgColor rgb="FF00B050"/>
        </patternFill>
      </fill>
    </dxf>
    <dxf>
      <font>
        <b/>
        <i val="0"/>
        <color theme="5"/>
      </font>
      <fill>
        <patternFill>
          <bgColor theme="5" tint="0.39994506668294322"/>
        </patternFill>
      </fill>
    </dxf>
    <dxf>
      <font>
        <color rgb="FFC00000"/>
      </font>
      <fill>
        <patternFill>
          <bgColor rgb="FFFF6969"/>
        </patternFill>
      </fill>
    </dxf>
    <dxf>
      <font>
        <color theme="9"/>
      </font>
      <fill>
        <patternFill>
          <bgColor theme="9" tint="0.59996337778862885"/>
        </patternFill>
      </fill>
    </dxf>
    <dxf>
      <font>
        <color theme="9" tint="-0.499984740745262"/>
      </font>
      <fill>
        <patternFill>
          <bgColor rgb="FF00B050"/>
        </patternFill>
      </fill>
    </dxf>
    <dxf>
      <fill>
        <patternFill patternType="solid">
          <bgColor theme="5" tint="0.39991454817346722"/>
        </patternFill>
      </fill>
    </dxf>
    <dxf>
      <fill>
        <patternFill patternType="solid">
          <bgColor theme="5" tint="0.59996337778862885"/>
        </patternFill>
      </fill>
    </dxf>
    <dxf>
      <fill>
        <patternFill patternType="solid">
          <bgColor theme="5" tint="0.79995117038483843"/>
        </patternFill>
      </fill>
    </dxf>
    <dxf>
      <fill>
        <patternFill patternType="solid">
          <bgColor theme="5" tint="0.39991454817346722"/>
        </patternFill>
      </fill>
    </dxf>
    <dxf>
      <fill>
        <patternFill patternType="solid">
          <bgColor theme="5" tint="0.59996337778862885"/>
        </patternFill>
      </fill>
    </dxf>
    <dxf>
      <fill>
        <patternFill patternType="solid">
          <bgColor theme="5" tint="0.79995117038483843"/>
        </patternFill>
      </fill>
    </dxf>
    <dxf>
      <fill>
        <patternFill patternType="solid">
          <bgColor theme="5" tint="0.39991454817346722"/>
        </patternFill>
      </fill>
    </dxf>
    <dxf>
      <fill>
        <patternFill patternType="solid">
          <bgColor theme="5" tint="0.59996337778862885"/>
        </patternFill>
      </fill>
    </dxf>
    <dxf>
      <fill>
        <patternFill patternType="solid">
          <bgColor theme="5" tint="0.79995117038483843"/>
        </patternFill>
      </fill>
    </dxf>
    <dxf>
      <fill>
        <patternFill patternType="solid">
          <bgColor theme="5" tint="0.39991454817346722"/>
        </patternFill>
      </fill>
    </dxf>
    <dxf>
      <fill>
        <patternFill patternType="solid">
          <bgColor theme="5" tint="0.59996337778862885"/>
        </patternFill>
      </fill>
    </dxf>
    <dxf>
      <fill>
        <patternFill patternType="solid">
          <bgColor theme="5" tint="0.79995117038483843"/>
        </patternFill>
      </fill>
    </dxf>
    <dxf>
      <fill>
        <patternFill patternType="solid">
          <bgColor theme="5" tint="0.39991454817346722"/>
        </patternFill>
      </fill>
    </dxf>
    <dxf>
      <fill>
        <patternFill patternType="solid">
          <bgColor theme="5" tint="0.59996337778862885"/>
        </patternFill>
      </fill>
    </dxf>
    <dxf>
      <fill>
        <patternFill patternType="solid">
          <bgColor theme="5" tint="0.79995117038483843"/>
        </patternFill>
      </fill>
    </dxf>
    <dxf>
      <fill>
        <patternFill patternType="solid">
          <bgColor theme="5" tint="0.39991454817346722"/>
        </patternFill>
      </fill>
    </dxf>
    <dxf>
      <fill>
        <patternFill patternType="solid">
          <bgColor theme="5" tint="0.59996337778862885"/>
        </patternFill>
      </fill>
    </dxf>
    <dxf>
      <fill>
        <patternFill patternType="solid">
          <bgColor theme="5" tint="0.79995117038483843"/>
        </patternFill>
      </fill>
    </dxf>
    <dxf>
      <fill>
        <patternFill patternType="solid">
          <bgColor theme="5" tint="0.39991454817346722"/>
        </patternFill>
      </fill>
    </dxf>
    <dxf>
      <fill>
        <patternFill patternType="solid">
          <bgColor theme="5" tint="0.59996337778862885"/>
        </patternFill>
      </fill>
    </dxf>
    <dxf>
      <fill>
        <patternFill patternType="solid">
          <bgColor theme="5" tint="0.79995117038483843"/>
        </patternFill>
      </fill>
    </dxf>
    <dxf>
      <fill>
        <patternFill patternType="solid">
          <bgColor theme="5" tint="0.39991454817346722"/>
        </patternFill>
      </fill>
    </dxf>
    <dxf>
      <fill>
        <patternFill patternType="solid">
          <bgColor theme="5" tint="0.59996337778862885"/>
        </patternFill>
      </fill>
    </dxf>
    <dxf>
      <fill>
        <patternFill patternType="solid">
          <bgColor theme="5" tint="0.79995117038483843"/>
        </patternFill>
      </fill>
    </dxf>
    <dxf>
      <fill>
        <patternFill patternType="solid">
          <bgColor theme="5" tint="0.39991454817346722"/>
        </patternFill>
      </fill>
    </dxf>
    <dxf>
      <fill>
        <patternFill patternType="solid">
          <bgColor theme="5" tint="0.59996337778862885"/>
        </patternFill>
      </fill>
    </dxf>
    <dxf>
      <fill>
        <patternFill patternType="solid">
          <bgColor theme="5" tint="0.79995117038483843"/>
        </patternFill>
      </fill>
    </dxf>
    <dxf>
      <fill>
        <patternFill patternType="solid">
          <bgColor theme="5" tint="0.39991454817346722"/>
        </patternFill>
      </fill>
    </dxf>
    <dxf>
      <fill>
        <patternFill patternType="solid">
          <bgColor theme="5" tint="0.59996337778862885"/>
        </patternFill>
      </fill>
    </dxf>
    <dxf>
      <fill>
        <patternFill patternType="solid">
          <bgColor theme="5" tint="0.79995117038483843"/>
        </patternFill>
      </fill>
    </dxf>
    <dxf>
      <fill>
        <patternFill patternType="solid">
          <bgColor theme="5" tint="0.39991454817346722"/>
        </patternFill>
      </fill>
    </dxf>
    <dxf>
      <fill>
        <patternFill patternType="solid">
          <bgColor theme="5" tint="0.59996337778862885"/>
        </patternFill>
      </fill>
    </dxf>
    <dxf>
      <fill>
        <patternFill patternType="solid">
          <bgColor theme="5" tint="0.79995117038483843"/>
        </patternFill>
      </fill>
    </dxf>
    <dxf>
      <fill>
        <patternFill patternType="solid">
          <bgColor theme="5" tint="0.39991454817346722"/>
        </patternFill>
      </fill>
    </dxf>
    <dxf>
      <fill>
        <patternFill patternType="solid">
          <bgColor theme="5" tint="0.59996337778862885"/>
        </patternFill>
      </fill>
    </dxf>
    <dxf>
      <fill>
        <patternFill patternType="solid">
          <bgColor theme="5" tint="0.79995117038483843"/>
        </patternFill>
      </fill>
    </dxf>
    <dxf>
      <fill>
        <patternFill patternType="solid">
          <bgColor theme="5" tint="0.39991454817346722"/>
        </patternFill>
      </fill>
    </dxf>
    <dxf>
      <fill>
        <patternFill patternType="solid">
          <bgColor theme="5" tint="0.59996337778862885"/>
        </patternFill>
      </fill>
    </dxf>
    <dxf>
      <fill>
        <patternFill patternType="solid">
          <bgColor theme="5" tint="0.79995117038483843"/>
        </patternFill>
      </fill>
    </dxf>
    <dxf>
      <fill>
        <patternFill patternType="solid">
          <bgColor theme="5" tint="0.39991454817346722"/>
        </patternFill>
      </fill>
    </dxf>
    <dxf>
      <fill>
        <patternFill patternType="solid">
          <bgColor theme="5" tint="0.59996337778862885"/>
        </patternFill>
      </fill>
    </dxf>
    <dxf>
      <fill>
        <patternFill patternType="solid">
          <bgColor theme="5" tint="0.79995117038483843"/>
        </patternFill>
      </fill>
    </dxf>
    <dxf>
      <fill>
        <patternFill patternType="solid">
          <bgColor theme="5" tint="0.39991454817346722"/>
        </patternFill>
      </fill>
    </dxf>
    <dxf>
      <fill>
        <patternFill patternType="solid">
          <bgColor theme="5" tint="0.59996337778862885"/>
        </patternFill>
      </fill>
    </dxf>
    <dxf>
      <fill>
        <patternFill patternType="solid">
          <bgColor theme="5" tint="0.79995117038483843"/>
        </patternFill>
      </fill>
    </dxf>
    <dxf>
      <font>
        <b val="0"/>
        <i val="0"/>
        <strike val="0"/>
        <condense val="0"/>
        <extend val="0"/>
        <outline val="0"/>
        <shadow val="0"/>
        <u val="none"/>
        <vertAlign val="baseline"/>
        <sz val="8"/>
        <color auto="1"/>
        <name val="Swis721 Cn BT"/>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Swis721 Cn BT"/>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Swis721 Cn BT"/>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Swis721 Cn BT"/>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Swis721 Cn BT"/>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Swis721 Cn BT"/>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Swis721 Cn BT"/>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Swis721 Cn BT"/>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Swis721 Cn BT"/>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Swis721 Cn BT"/>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Swis721 Cn BT"/>
        <family val="2"/>
        <scheme val="none"/>
      </font>
      <fill>
        <patternFill patternType="solid">
          <fgColor indexed="64"/>
          <bgColor rgb="FF96BCE6"/>
        </patternFill>
      </fill>
      <alignment horizontal="left" vertical="center" textRotation="0" wrapText="1" indent="0" justifyLastLine="0" shrinkToFit="0" readingOrder="0"/>
    </dxf>
    <dxf>
      <font>
        <strike val="0"/>
        <outline val="0"/>
        <shadow val="0"/>
        <u val="none"/>
        <vertAlign val="baseline"/>
        <sz val="14"/>
        <color theme="0"/>
        <name val="Swis721 Cn BT"/>
        <family val="2"/>
        <scheme val="none"/>
      </font>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6"/>
        <color theme="1"/>
        <name val="Calibri"/>
        <family val="2"/>
        <scheme val="minor"/>
      </font>
    </dxf>
    <dxf>
      <font>
        <b val="0"/>
        <i val="0"/>
        <strike val="0"/>
        <condense val="0"/>
        <extend val="0"/>
        <outline val="0"/>
        <shadow val="0"/>
        <u val="none"/>
        <vertAlign val="baseline"/>
        <sz val="16"/>
        <color theme="1"/>
        <name val="Calibri"/>
        <family val="2"/>
        <scheme val="minor"/>
      </font>
    </dxf>
    <dxf>
      <font>
        <b val="0"/>
        <i val="0"/>
        <strike val="0"/>
        <condense val="0"/>
        <extend val="0"/>
        <outline val="0"/>
        <shadow val="0"/>
        <u val="none"/>
        <vertAlign val="baseline"/>
        <sz val="16"/>
        <color theme="1"/>
        <name val="Calibri"/>
        <family val="2"/>
        <scheme val="minor"/>
      </font>
    </dxf>
    <dxf>
      <font>
        <b val="0"/>
        <i val="0"/>
        <strike val="0"/>
        <condense val="0"/>
        <extend val="0"/>
        <outline val="0"/>
        <shadow val="0"/>
        <u val="none"/>
        <vertAlign val="baseline"/>
        <sz val="16"/>
        <color theme="1"/>
        <name val="Calibri"/>
        <charset val="134"/>
        <scheme val="minor"/>
      </font>
      <numFmt numFmtId="167" formatCode="_-* #,##0_-;\-* #,##0_-;_-* &quot;-&quot;??_-;_-@_-"/>
    </dxf>
    <dxf>
      <font>
        <b val="0"/>
        <i val="0"/>
        <strike val="0"/>
        <condense val="0"/>
        <extend val="0"/>
        <outline val="0"/>
        <shadow val="0"/>
        <u val="none"/>
        <vertAlign val="baseline"/>
        <sz val="16"/>
        <color theme="1"/>
        <name val="Calibri"/>
        <charset val="134"/>
        <scheme val="minor"/>
      </font>
      <numFmt numFmtId="167" formatCode="_-* #,##0_-;\-* #,##0_-;_-* &quot;-&quot;??_-;_-@_-"/>
    </dxf>
    <dxf>
      <font>
        <b val="0"/>
        <i val="0"/>
        <strike val="0"/>
        <condense val="0"/>
        <extend val="0"/>
        <outline val="0"/>
        <shadow val="0"/>
        <u val="none"/>
        <vertAlign val="baseline"/>
        <sz val="16"/>
        <color theme="1"/>
        <name val="Calibri"/>
        <family val="2"/>
        <scheme val="minor"/>
      </font>
      <numFmt numFmtId="167" formatCode="_-* #,##0_-;\-* #,##0_-;_-* &quot;-&quot;??_-;_-@_-"/>
    </dxf>
    <dxf>
      <font>
        <b val="0"/>
        <i val="0"/>
        <strike val="0"/>
        <condense val="0"/>
        <extend val="0"/>
        <outline val="0"/>
        <shadow val="0"/>
        <u val="none"/>
        <vertAlign val="baseline"/>
        <sz val="16"/>
        <color theme="1"/>
        <name val="Calibri"/>
        <family val="2"/>
        <scheme val="minor"/>
      </font>
      <numFmt numFmtId="167" formatCode="_-* #,##0_-;\-* #,##0_-;_-* &quot;-&quot;??_-;_-@_-"/>
    </dxf>
    <dxf>
      <font>
        <b val="0"/>
        <i val="0"/>
        <strike val="0"/>
        <condense val="0"/>
        <extend val="0"/>
        <outline val="0"/>
        <shadow val="0"/>
        <u val="none"/>
        <vertAlign val="baseline"/>
        <sz val="16"/>
        <color theme="1"/>
        <name val="Calibri"/>
        <charset val="134"/>
        <scheme val="minor"/>
      </font>
      <numFmt numFmtId="167" formatCode="_-* #,##0_-;\-* #,##0_-;_-* &quot;-&quot;??_-;_-@_-"/>
    </dxf>
    <dxf>
      <font>
        <b val="0"/>
        <i val="0"/>
        <strike val="0"/>
        <condense val="0"/>
        <extend val="0"/>
        <outline val="0"/>
        <shadow val="0"/>
        <u val="none"/>
        <vertAlign val="baseline"/>
        <sz val="16"/>
        <color theme="1"/>
        <name val="Calibri"/>
        <charset val="134"/>
        <scheme val="minor"/>
      </font>
      <numFmt numFmtId="167" formatCode="_-* #,##0_-;\-* #,##0_-;_-* &quot;-&quot;??_-;_-@_-"/>
    </dxf>
    <dxf>
      <font>
        <b val="0"/>
        <i val="0"/>
        <strike val="0"/>
        <condense val="0"/>
        <extend val="0"/>
        <outline val="0"/>
        <shadow val="0"/>
        <u val="none"/>
        <vertAlign val="baseline"/>
        <sz val="16"/>
        <color theme="1"/>
        <name val="Calibri"/>
        <charset val="134"/>
        <scheme val="minor"/>
      </font>
      <numFmt numFmtId="167" formatCode="_-* #,##0_-;\-* #,##0_-;_-* &quot;-&quot;??_-;_-@_-"/>
    </dxf>
    <dxf>
      <font>
        <b val="0"/>
        <i val="0"/>
        <strike val="0"/>
        <condense val="0"/>
        <extend val="0"/>
        <outline val="0"/>
        <shadow val="0"/>
        <u val="none"/>
        <vertAlign val="baseline"/>
        <sz val="16"/>
        <color theme="1"/>
        <name val="Calibri"/>
        <charset val="134"/>
        <scheme val="minor"/>
      </font>
      <numFmt numFmtId="167" formatCode="_-* #,##0_-;\-* #,##0_-;_-* &quot;-&quot;??_-;_-@_-"/>
    </dxf>
    <dxf>
      <font>
        <b val="0"/>
        <i val="0"/>
        <strike val="0"/>
        <condense val="0"/>
        <extend val="0"/>
        <outline val="0"/>
        <shadow val="0"/>
        <u val="none"/>
        <vertAlign val="baseline"/>
        <sz val="16"/>
        <color theme="1"/>
        <name val="Calibri"/>
        <charset val="134"/>
        <scheme val="minor"/>
      </font>
      <numFmt numFmtId="167" formatCode="_-* #,##0_-;\-* #,##0_-;_-* &quot;-&quot;??_-;_-@_-"/>
    </dxf>
    <dxf>
      <font>
        <b val="0"/>
        <i val="0"/>
        <strike val="0"/>
        <condense val="0"/>
        <extend val="0"/>
        <outline val="0"/>
        <shadow val="0"/>
        <u val="none"/>
        <vertAlign val="baseline"/>
        <sz val="16"/>
        <color theme="1"/>
        <name val="Calibri"/>
        <charset val="134"/>
        <scheme val="minor"/>
      </font>
      <numFmt numFmtId="167" formatCode="_-* #,##0_-;\-* #,##0_-;_-* &quot;-&quot;??_-;_-@_-"/>
    </dxf>
    <dxf>
      <font>
        <b val="0"/>
        <i val="0"/>
        <strike val="0"/>
        <condense val="0"/>
        <extend val="0"/>
        <outline val="0"/>
        <shadow val="0"/>
        <u val="none"/>
        <vertAlign val="baseline"/>
        <sz val="16"/>
        <color theme="1"/>
        <name val="Calibri"/>
        <charset val="134"/>
        <scheme val="minor"/>
      </font>
      <numFmt numFmtId="167" formatCode="_-* #,##0_-;\-* #,##0_-;_-* &quot;-&quot;??_-;_-@_-"/>
    </dxf>
    <dxf>
      <font>
        <b val="0"/>
        <i val="0"/>
        <strike val="0"/>
        <condense val="0"/>
        <extend val="0"/>
        <outline val="0"/>
        <shadow val="0"/>
        <u val="none"/>
        <vertAlign val="baseline"/>
        <sz val="16"/>
        <color theme="1"/>
        <name val="Calibri"/>
        <charset val="134"/>
        <scheme val="minor"/>
      </font>
      <numFmt numFmtId="167" formatCode="_-* #,##0_-;\-* #,##0_-;_-* &quot;-&quot;??_-;_-@_-"/>
    </dxf>
    <dxf>
      <font>
        <b val="0"/>
        <i val="0"/>
        <strike val="0"/>
        <condense val="0"/>
        <extend val="0"/>
        <outline val="0"/>
        <shadow val="0"/>
        <u val="none"/>
        <vertAlign val="baseline"/>
        <sz val="16"/>
        <color theme="1"/>
        <name val="Calibri"/>
        <charset val="134"/>
        <scheme val="minor"/>
      </font>
    </dxf>
    <dxf>
      <font>
        <b val="0"/>
        <i val="0"/>
        <strike val="0"/>
        <condense val="0"/>
        <extend val="0"/>
        <outline val="0"/>
        <shadow val="0"/>
        <u val="none"/>
        <vertAlign val="baseline"/>
        <sz val="16"/>
        <color theme="1"/>
        <name val="Calibri"/>
        <charset val="134"/>
        <scheme val="minor"/>
      </font>
    </dxf>
    <dxf>
      <font>
        <b val="0"/>
        <i val="0"/>
        <strike val="0"/>
        <condense val="0"/>
        <extend val="0"/>
        <outline val="0"/>
        <shadow val="0"/>
        <u val="none"/>
        <vertAlign val="baseline"/>
        <sz val="16"/>
        <color theme="1"/>
        <name val="Calibri"/>
        <family val="2"/>
        <scheme val="minor"/>
      </font>
    </dxf>
    <dxf>
      <font>
        <b val="0"/>
        <i val="0"/>
        <strike val="0"/>
        <condense val="0"/>
        <extend val="0"/>
        <outline val="0"/>
        <shadow val="0"/>
        <u val="none"/>
        <vertAlign val="baseline"/>
        <sz val="16"/>
        <color theme="1"/>
        <name val="Calibri"/>
        <charset val="134"/>
        <scheme val="minor"/>
      </font>
      <numFmt numFmtId="167" formatCode="_-* #,##0_-;\-* #,##0_-;_-* &quot;-&quot;??_-;_-@_-"/>
      <border diagonalUp="0" diagonalDown="0" outline="0">
        <left/>
        <right style="thin">
          <color indexed="64"/>
        </right>
        <top/>
        <bottom/>
      </border>
    </dxf>
    <dxf>
      <font>
        <b val="0"/>
        <i val="0"/>
        <strike val="0"/>
        <condense val="0"/>
        <extend val="0"/>
        <outline val="0"/>
        <shadow val="0"/>
        <u val="none"/>
        <vertAlign val="baseline"/>
        <sz val="16"/>
        <color theme="1"/>
        <name val="Calibri"/>
        <charset val="134"/>
        <scheme val="minor"/>
      </font>
      <numFmt numFmtId="167" formatCode="_-* #,##0_-;\-* #,##0_-;_-* &quot;-&quot;??_-;_-@_-"/>
    </dxf>
    <dxf>
      <font>
        <b val="0"/>
        <i val="0"/>
        <strike val="0"/>
        <condense val="0"/>
        <extend val="0"/>
        <outline val="0"/>
        <shadow val="0"/>
        <u val="none"/>
        <vertAlign val="baseline"/>
        <sz val="16"/>
        <color theme="1"/>
        <name val="Calibri"/>
        <charset val="134"/>
        <scheme val="minor"/>
      </font>
      <numFmt numFmtId="167" formatCode="_-* #,##0_-;\-* #,##0_-;_-* &quot;-&quot;??_-;_-@_-"/>
    </dxf>
    <dxf>
      <font>
        <b val="0"/>
        <i val="0"/>
        <strike val="0"/>
        <condense val="0"/>
        <extend val="0"/>
        <outline val="0"/>
        <shadow val="0"/>
        <u val="none"/>
        <vertAlign val="baseline"/>
        <sz val="16"/>
        <color theme="1"/>
        <name val="Calibri"/>
        <charset val="134"/>
        <scheme val="minor"/>
      </font>
      <numFmt numFmtId="167" formatCode="_-* #,##0_-;\-* #,##0_-;_-* &quot;-&quot;??_-;_-@_-"/>
    </dxf>
    <dxf>
      <font>
        <b val="0"/>
        <i val="0"/>
        <strike val="0"/>
        <condense val="0"/>
        <extend val="0"/>
        <outline val="0"/>
        <shadow val="0"/>
        <u val="none"/>
        <vertAlign val="baseline"/>
        <sz val="16"/>
        <color theme="1"/>
        <name val="Calibri"/>
        <charset val="134"/>
        <scheme val="minor"/>
      </font>
      <numFmt numFmtId="167" formatCode="_-* #,##0_-;\-* #,##0_-;_-* &quot;-&quot;??_-;_-@_-"/>
      <border diagonalUp="0" diagonalDown="0" outline="0">
        <left style="thin">
          <color indexed="64"/>
        </left>
        <right/>
        <top/>
        <bottom/>
      </border>
    </dxf>
    <dxf>
      <font>
        <b val="0"/>
        <i val="0"/>
        <strike val="0"/>
        <condense val="0"/>
        <extend val="0"/>
        <outline val="0"/>
        <shadow val="0"/>
        <u val="none"/>
        <vertAlign val="baseline"/>
        <sz val="16"/>
        <color auto="1"/>
        <name val="Calibri"/>
        <scheme val="minor"/>
      </font>
      <numFmt numFmtId="167" formatCode="_-* #,##0_-;\-* #,##0_-;_-* &quot;-&quot;??_-;_-@_-"/>
    </dxf>
    <dxf>
      <font>
        <b val="0"/>
        <i val="0"/>
        <strike val="0"/>
        <condense val="0"/>
        <extend val="0"/>
        <outline val="0"/>
        <shadow val="0"/>
        <u val="none"/>
        <vertAlign val="baseline"/>
        <sz val="16"/>
        <color theme="1"/>
        <name val="Calibri"/>
        <charset val="134"/>
        <scheme val="minor"/>
      </font>
      <numFmt numFmtId="167" formatCode="_-* #,##0_-;\-* #,##0_-;_-* &quot;-&quot;??_-;_-@_-"/>
    </dxf>
    <dxf>
      <font>
        <b val="0"/>
        <i val="0"/>
        <strike val="0"/>
        <condense val="0"/>
        <extend val="0"/>
        <outline val="0"/>
        <shadow val="0"/>
        <u val="none"/>
        <vertAlign val="baseline"/>
        <sz val="16"/>
        <color theme="1"/>
        <name val="Calibri"/>
        <charset val="134"/>
        <scheme val="minor"/>
      </font>
      <numFmt numFmtId="167" formatCode="_-* #,##0_-;\-* #,##0_-;_-* &quot;-&quot;??_-;_-@_-"/>
    </dxf>
    <dxf>
      <font>
        <b val="0"/>
        <i val="0"/>
        <strike val="0"/>
        <condense val="0"/>
        <extend val="0"/>
        <outline val="0"/>
        <shadow val="0"/>
        <u val="none"/>
        <vertAlign val="baseline"/>
        <sz val="16"/>
        <color theme="1"/>
        <name val="Calibri"/>
        <charset val="134"/>
        <scheme val="minor"/>
      </font>
      <numFmt numFmtId="167" formatCode="_-* #,##0_-;\-* #,##0_-;_-* &quot;-&quot;??_-;_-@_-"/>
    </dxf>
    <dxf>
      <font>
        <b val="0"/>
        <i val="0"/>
        <strike val="0"/>
        <condense val="0"/>
        <extend val="0"/>
        <outline val="0"/>
        <shadow val="0"/>
        <u val="none"/>
        <vertAlign val="baseline"/>
        <sz val="16"/>
        <color theme="1"/>
        <name val="Calibri"/>
        <charset val="134"/>
        <scheme val="minor"/>
      </font>
      <numFmt numFmtId="167" formatCode="_-* #,##0_-;\-* #,##0_-;_-* &quot;-&quot;??_-;_-@_-"/>
    </dxf>
    <dxf>
      <font>
        <b val="0"/>
        <i val="0"/>
        <strike val="0"/>
        <condense val="0"/>
        <extend val="0"/>
        <outline val="0"/>
        <shadow val="0"/>
        <u val="none"/>
        <vertAlign val="baseline"/>
        <sz val="16"/>
        <color theme="1"/>
        <name val="Calibri"/>
        <charset val="134"/>
        <scheme val="minor"/>
      </font>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Calibri"/>
        <charset val="134"/>
        <scheme val="minor"/>
      </font>
    </dxf>
    <dxf>
      <font>
        <b val="0"/>
        <i val="0"/>
        <strike val="0"/>
        <condense val="0"/>
        <extend val="0"/>
        <outline val="0"/>
        <shadow val="0"/>
        <u val="none"/>
        <vertAlign val="baseline"/>
        <sz val="16"/>
        <color theme="1"/>
        <name val="Calibri"/>
        <family val="2"/>
        <scheme val="minor"/>
      </font>
    </dxf>
    <dxf>
      <font>
        <b val="0"/>
        <i val="0"/>
        <strike val="0"/>
        <condense val="0"/>
        <extend val="0"/>
        <outline val="0"/>
        <shadow val="0"/>
        <u val="none"/>
        <vertAlign val="baseline"/>
        <sz val="16"/>
        <color theme="1"/>
        <name val="Calibri"/>
        <charset val="134"/>
        <scheme val="minor"/>
      </font>
      <numFmt numFmtId="167" formatCode="_-* #,##0_-;\-* #,##0_-;_-* &quot;-&quot;??_-;_-@_-"/>
      <fill>
        <patternFill patternType="none">
          <fgColor indexed="64"/>
          <bgColor auto="1"/>
        </patternFill>
      </fill>
    </dxf>
    <dxf>
      <font>
        <b val="0"/>
        <i val="0"/>
        <strike val="0"/>
        <condense val="0"/>
        <extend val="0"/>
        <outline val="0"/>
        <shadow val="0"/>
        <u val="none"/>
        <vertAlign val="baseline"/>
        <sz val="16"/>
        <color theme="1"/>
        <name val="Calibri"/>
        <charset val="134"/>
        <scheme val="minor"/>
      </font>
      <numFmt numFmtId="167" formatCode="_-* #,##0_-;\-* #,##0_-;_-* &quot;-&quot;??_-;_-@_-"/>
      <fill>
        <patternFill patternType="none">
          <fgColor indexed="64"/>
          <bgColor auto="1"/>
        </patternFill>
      </fill>
    </dxf>
    <dxf>
      <font>
        <b val="0"/>
        <i val="0"/>
        <strike val="0"/>
        <condense val="0"/>
        <extend val="0"/>
        <outline val="0"/>
        <shadow val="0"/>
        <u val="none"/>
        <vertAlign val="baseline"/>
        <sz val="16"/>
        <color theme="1"/>
        <name val="Calibri"/>
        <charset val="134"/>
        <scheme val="minor"/>
      </font>
      <numFmt numFmtId="167" formatCode="_-* #,##0_-;\-* #,##0_-;_-* &quot;-&quot;??_-;_-@_-"/>
      <fill>
        <patternFill patternType="none">
          <fgColor indexed="64"/>
          <bgColor auto="1"/>
        </patternFill>
      </fill>
    </dxf>
    <dxf>
      <font>
        <b val="0"/>
        <i val="0"/>
        <strike val="0"/>
        <condense val="0"/>
        <extend val="0"/>
        <outline val="0"/>
        <shadow val="0"/>
        <u val="none"/>
        <vertAlign val="baseline"/>
        <sz val="16"/>
        <color theme="1"/>
        <name val="Calibri"/>
        <charset val="134"/>
        <scheme val="minor"/>
      </font>
      <numFmt numFmtId="167" formatCode="_-* #,##0_-;\-* #,##0_-;_-* &quot;-&quot;??_-;_-@_-"/>
      <fill>
        <patternFill patternType="none">
          <fgColor indexed="64"/>
          <bgColor auto="1"/>
        </patternFill>
      </fill>
    </dxf>
    <dxf>
      <font>
        <b val="0"/>
        <i val="0"/>
        <strike val="0"/>
        <condense val="0"/>
        <extend val="0"/>
        <outline val="0"/>
        <shadow val="0"/>
        <u val="none"/>
        <vertAlign val="baseline"/>
        <sz val="16"/>
        <color theme="1"/>
        <name val="Calibri"/>
        <charset val="134"/>
        <scheme val="minor"/>
      </font>
      <numFmt numFmtId="167" formatCode="_-* #,##0_-;\-* #,##0_-;_-* &quot;-&quot;??_-;_-@_-"/>
      <fill>
        <patternFill patternType="none">
          <fgColor indexed="64"/>
          <bgColor auto="1"/>
        </patternFill>
      </fill>
    </dxf>
    <dxf>
      <font>
        <b val="0"/>
        <i val="0"/>
        <strike val="0"/>
        <condense val="0"/>
        <extend val="0"/>
        <outline val="0"/>
        <shadow val="0"/>
        <u val="none"/>
        <vertAlign val="baseline"/>
        <sz val="16"/>
        <color theme="1"/>
        <name val="Calibri"/>
        <charset val="134"/>
        <scheme val="minor"/>
      </font>
      <numFmt numFmtId="167" formatCode="_-* #,##0_-;\-* #,##0_-;_-* &quot;-&quot;??_-;_-@_-"/>
      <fill>
        <patternFill patternType="none">
          <fgColor indexed="64"/>
          <bgColor auto="1"/>
        </patternFill>
      </fill>
    </dxf>
    <dxf>
      <font>
        <b val="0"/>
        <i val="0"/>
        <strike val="0"/>
        <condense val="0"/>
        <extend val="0"/>
        <outline val="0"/>
        <shadow val="0"/>
        <u val="none"/>
        <vertAlign val="baseline"/>
        <sz val="16"/>
        <color theme="1"/>
        <name val="Calibri"/>
        <charset val="134"/>
        <scheme val="minor"/>
      </font>
    </dxf>
    <dxf>
      <font>
        <b val="0"/>
        <i val="0"/>
        <strike val="0"/>
        <condense val="0"/>
        <extend val="0"/>
        <outline val="0"/>
        <shadow val="0"/>
        <u val="none"/>
        <vertAlign val="baseline"/>
        <sz val="16"/>
        <color theme="1"/>
        <name val="Calibri"/>
        <charset val="134"/>
        <scheme val="minor"/>
      </font>
    </dxf>
    <dxf>
      <font>
        <b val="0"/>
        <i val="0"/>
        <strike val="0"/>
        <condense val="0"/>
        <extend val="0"/>
        <outline val="0"/>
        <shadow val="0"/>
        <u val="none"/>
        <vertAlign val="baseline"/>
        <sz val="16"/>
        <color theme="1"/>
        <name val="Calibri"/>
        <family val="2"/>
        <scheme val="minor"/>
      </font>
    </dxf>
    <dxf>
      <font>
        <b val="0"/>
        <i val="0"/>
        <strike val="0"/>
        <condense val="0"/>
        <extend val="0"/>
        <outline val="0"/>
        <shadow val="0"/>
        <u val="none"/>
        <vertAlign val="baseline"/>
        <sz val="16"/>
        <color theme="1"/>
        <name val="Calibri"/>
        <charset val="134"/>
        <scheme val="minor"/>
      </font>
      <numFmt numFmtId="1" formatCode="0"/>
      <border diagonalUp="0" diagonalDown="0">
        <left/>
        <right style="thin">
          <color indexed="64"/>
        </right>
        <top/>
        <bottom/>
        <vertical/>
        <horizontal/>
      </border>
    </dxf>
    <dxf>
      <font>
        <b val="0"/>
        <i val="0"/>
        <strike val="0"/>
        <condense val="0"/>
        <extend val="0"/>
        <outline val="0"/>
        <shadow val="0"/>
        <u val="none"/>
        <vertAlign val="baseline"/>
        <sz val="16"/>
        <color theme="1"/>
        <name val="Calibri"/>
        <charset val="134"/>
        <scheme val="minor"/>
      </font>
      <numFmt numFmtId="1" formatCode="0"/>
    </dxf>
    <dxf>
      <font>
        <b val="0"/>
        <i val="0"/>
        <strike val="0"/>
        <condense val="0"/>
        <extend val="0"/>
        <outline val="0"/>
        <shadow val="0"/>
        <u val="none"/>
        <vertAlign val="baseline"/>
        <sz val="16"/>
        <color theme="1"/>
        <name val="Calibri"/>
        <charset val="134"/>
        <scheme val="minor"/>
      </font>
      <numFmt numFmtId="1" formatCode="0"/>
    </dxf>
    <dxf>
      <font>
        <b val="0"/>
        <i val="0"/>
        <strike val="0"/>
        <condense val="0"/>
        <extend val="0"/>
        <outline val="0"/>
        <shadow val="0"/>
        <u val="none"/>
        <vertAlign val="baseline"/>
        <sz val="16"/>
        <color theme="1"/>
        <name val="Calibri"/>
        <charset val="134"/>
        <scheme val="minor"/>
      </font>
      <numFmt numFmtId="1" formatCode="0"/>
    </dxf>
    <dxf>
      <font>
        <b val="0"/>
        <i val="0"/>
        <strike val="0"/>
        <condense val="0"/>
        <extend val="0"/>
        <outline val="0"/>
        <shadow val="0"/>
        <u val="none"/>
        <vertAlign val="baseline"/>
        <sz val="16"/>
        <color theme="1"/>
        <name val="Calibri"/>
        <charset val="134"/>
        <scheme val="minor"/>
      </font>
      <numFmt numFmtId="1" formatCode="0"/>
      <border diagonalUp="0" diagonalDown="0">
        <left style="thin">
          <color indexed="64"/>
        </left>
        <right/>
        <top/>
        <bottom/>
        <vertical/>
        <horizontal/>
      </border>
    </dxf>
    <dxf>
      <font>
        <b val="0"/>
        <i val="0"/>
        <strike val="0"/>
        <condense val="0"/>
        <extend val="0"/>
        <outline val="0"/>
        <shadow val="0"/>
        <u val="none"/>
        <vertAlign val="baseline"/>
        <sz val="16"/>
        <color theme="1"/>
        <name val="Calibri"/>
        <charset val="134"/>
        <scheme val="minor"/>
      </font>
      <numFmt numFmtId="1" formatCode="0"/>
    </dxf>
    <dxf>
      <font>
        <b val="0"/>
        <i val="0"/>
        <strike val="0"/>
        <condense val="0"/>
        <extend val="0"/>
        <outline val="0"/>
        <shadow val="0"/>
        <u val="none"/>
        <vertAlign val="baseline"/>
        <sz val="16"/>
        <color theme="1"/>
        <name val="Calibri"/>
        <charset val="134"/>
        <scheme val="minor"/>
      </font>
      <numFmt numFmtId="1" formatCode="0"/>
    </dxf>
    <dxf>
      <font>
        <b val="0"/>
        <i val="0"/>
        <strike val="0"/>
        <condense val="0"/>
        <extend val="0"/>
        <outline val="0"/>
        <shadow val="0"/>
        <u val="none"/>
        <vertAlign val="baseline"/>
        <sz val="16"/>
        <color theme="1"/>
        <name val="Calibri"/>
        <charset val="134"/>
        <scheme val="minor"/>
      </font>
      <numFmt numFmtId="1" formatCode="0"/>
    </dxf>
    <dxf>
      <font>
        <b val="0"/>
        <i val="0"/>
        <strike val="0"/>
        <condense val="0"/>
        <extend val="0"/>
        <outline val="0"/>
        <shadow val="0"/>
        <u val="none"/>
        <vertAlign val="baseline"/>
        <sz val="16"/>
        <color theme="1"/>
        <name val="Calibri"/>
        <charset val="134"/>
        <scheme val="minor"/>
      </font>
      <numFmt numFmtId="1" formatCode="0"/>
    </dxf>
    <dxf>
      <font>
        <b val="0"/>
        <i val="0"/>
        <strike val="0"/>
        <condense val="0"/>
        <extend val="0"/>
        <outline val="0"/>
        <shadow val="0"/>
        <u val="none"/>
        <vertAlign val="baseline"/>
        <sz val="16"/>
        <color theme="1"/>
        <name val="Calibri"/>
        <charset val="134"/>
        <scheme val="minor"/>
      </font>
      <numFmt numFmtId="1" formatCode="0"/>
    </dxf>
    <dxf>
      <font>
        <b val="0"/>
        <i val="0"/>
        <strike val="0"/>
        <condense val="0"/>
        <extend val="0"/>
        <outline val="0"/>
        <shadow val="0"/>
        <u val="none"/>
        <vertAlign val="baseline"/>
        <sz val="16"/>
        <color theme="1"/>
        <name val="Calibri"/>
        <charset val="134"/>
        <scheme val="minor"/>
      </font>
      <border diagonalUp="0" diagonalDown="0">
        <left style="thin">
          <color indexed="64"/>
        </left>
        <right/>
        <top/>
        <bottom/>
        <vertical/>
        <horizontal/>
      </border>
    </dxf>
    <dxf>
      <font>
        <b val="0"/>
        <i val="0"/>
        <strike val="0"/>
        <condense val="0"/>
        <extend val="0"/>
        <outline val="0"/>
        <shadow val="0"/>
        <u val="none"/>
        <vertAlign val="baseline"/>
        <sz val="16"/>
        <color theme="1"/>
        <name val="Calibri"/>
        <charset val="134"/>
        <scheme val="minor"/>
      </font>
    </dxf>
    <dxf>
      <font>
        <b val="0"/>
        <i val="0"/>
        <strike val="0"/>
        <condense val="0"/>
        <extend val="0"/>
        <outline val="0"/>
        <shadow val="0"/>
        <u val="none"/>
        <vertAlign val="baseline"/>
        <sz val="16"/>
        <color theme="1"/>
        <name val="Calibri"/>
        <family val="2"/>
        <scheme val="minor"/>
      </font>
    </dxf>
    <dxf>
      <font>
        <b val="0"/>
        <i val="0"/>
        <strike val="0"/>
        <condense val="0"/>
        <extend val="0"/>
        <outline val="0"/>
        <shadow val="0"/>
        <u val="none"/>
        <vertAlign val="baseline"/>
        <sz val="16"/>
        <color theme="1"/>
        <name val="Calibri"/>
        <charset val="134"/>
        <scheme val="minor"/>
      </font>
    </dxf>
    <dxf>
      <font>
        <b val="0"/>
        <i val="0"/>
        <strike val="0"/>
        <condense val="0"/>
        <extend val="0"/>
        <outline val="0"/>
        <shadow val="0"/>
        <u val="none"/>
        <vertAlign val="baseline"/>
        <sz val="16"/>
        <color theme="1"/>
        <name val="Calibri"/>
        <charset val="134"/>
        <scheme val="minor"/>
      </font>
    </dxf>
    <dxf>
      <font>
        <b val="0"/>
        <i val="0"/>
        <strike val="0"/>
        <condense val="0"/>
        <extend val="0"/>
        <outline val="0"/>
        <shadow val="0"/>
        <u val="none"/>
        <vertAlign val="baseline"/>
        <sz val="16"/>
        <color theme="1"/>
        <name val="Calibri"/>
        <charset val="134"/>
        <scheme val="minor"/>
      </font>
    </dxf>
    <dxf>
      <font>
        <b val="0"/>
        <i val="0"/>
        <strike val="0"/>
        <condense val="0"/>
        <extend val="0"/>
        <outline val="0"/>
        <shadow val="0"/>
        <u val="none"/>
        <vertAlign val="baseline"/>
        <sz val="16"/>
        <color theme="1"/>
        <name val="Calibri"/>
        <charset val="134"/>
        <scheme val="minor"/>
      </font>
    </dxf>
    <dxf>
      <font>
        <b val="0"/>
        <i val="0"/>
        <strike val="0"/>
        <condense val="0"/>
        <extend val="0"/>
        <outline val="0"/>
        <shadow val="0"/>
        <u val="none"/>
        <vertAlign val="baseline"/>
        <sz val="16"/>
        <color theme="1"/>
        <name val="Calibri"/>
        <charset val="134"/>
        <scheme val="minor"/>
      </font>
    </dxf>
    <dxf>
      <font>
        <b val="0"/>
        <i val="0"/>
        <strike val="0"/>
        <condense val="0"/>
        <extend val="0"/>
        <outline val="0"/>
        <shadow val="0"/>
        <u val="none"/>
        <vertAlign val="baseline"/>
        <sz val="16"/>
        <color theme="1"/>
        <name val="Calibri"/>
        <charset val="134"/>
        <scheme val="minor"/>
      </font>
    </dxf>
    <dxf>
      <font>
        <b val="0"/>
        <i val="0"/>
        <strike val="0"/>
        <condense val="0"/>
        <extend val="0"/>
        <outline val="0"/>
        <shadow val="0"/>
        <u val="none"/>
        <vertAlign val="baseline"/>
        <sz val="16"/>
        <color theme="1"/>
        <name val="Calibri"/>
        <charset val="134"/>
        <scheme val="minor"/>
      </font>
    </dxf>
    <dxf>
      <font>
        <b val="0"/>
        <i val="0"/>
        <strike val="0"/>
        <condense val="0"/>
        <extend val="0"/>
        <outline val="0"/>
        <shadow val="0"/>
        <u val="none"/>
        <vertAlign val="baseline"/>
        <sz val="16"/>
        <color theme="1"/>
        <name val="Calibri"/>
        <charset val="134"/>
        <scheme val="minor"/>
      </font>
    </dxf>
    <dxf>
      <font>
        <b val="0"/>
        <i val="0"/>
        <strike val="0"/>
        <condense val="0"/>
        <extend val="0"/>
        <outline val="0"/>
        <shadow val="0"/>
        <u val="none"/>
        <vertAlign val="baseline"/>
        <sz val="16"/>
        <color theme="1"/>
        <name val="Calibri"/>
        <family val="2"/>
        <scheme val="minor"/>
      </font>
    </dxf>
    <dxf>
      <font>
        <b/>
        <sz val="24"/>
        <color auto="1"/>
        <name val="Swis721 Cn BT"/>
        <family val="2"/>
        <scheme val="none"/>
      </font>
      <fill>
        <patternFill patternType="solid">
          <fgColor indexed="64"/>
          <bgColor rgb="FFFFFF00"/>
        </patternFill>
      </fill>
      <alignment horizontal="center" vertical="center" textRotation="0" wrapText="0" indent="0" justifyLastLine="0" shrinkToFit="0" readingOrder="0"/>
      <border diagonalUp="0" diagonalDown="0">
        <left/>
        <right style="medium">
          <color auto="1"/>
        </right>
        <top style="medium">
          <color auto="1"/>
        </top>
        <bottom/>
      </border>
      <protection locked="0" hidden="0"/>
    </dxf>
    <dxf>
      <font>
        <b/>
        <i val="0"/>
        <strike val="0"/>
        <condense val="0"/>
        <extend val="0"/>
        <outline val="0"/>
        <shadow val="0"/>
        <u val="none"/>
        <vertAlign val="baseline"/>
        <sz val="24"/>
        <color auto="1"/>
        <name val="Swis721 Cn BT"/>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style="medium">
          <color auto="1"/>
        </top>
        <bottom/>
      </border>
    </dxf>
    <dxf>
      <border outline="0">
        <top style="medium">
          <color auto="1"/>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24"/>
        <color auto="1"/>
        <name val="Swis721 Cn BT"/>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style="medium">
          <color indexed="64"/>
        </right>
        <top/>
        <bottom/>
      </border>
    </dxf>
    <dxf>
      <numFmt numFmtId="166" formatCode="_-* #,##0.0\ _€_-;\-* #,##0.0\ _€_-;_-* &quot;-&quot;?\ _€_-;_-@_-"/>
      <fill>
        <patternFill patternType="solid">
          <fgColor indexed="64"/>
          <bgColor rgb="FFFFE699"/>
        </patternFill>
      </fill>
      <border diagonalUp="0" diagonalDown="0">
        <left style="thin">
          <color auto="1"/>
        </left>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font>
        <b/>
        <i/>
        <strike val="0"/>
        <condense val="0"/>
        <extend val="0"/>
        <outline val="0"/>
        <shadow val="0"/>
        <u val="none"/>
        <vertAlign val="baseline"/>
        <sz val="11"/>
        <color theme="1"/>
        <name val="Swis721 Cn BT"/>
        <family val="2"/>
        <scheme val="none"/>
      </font>
      <fill>
        <patternFill patternType="solid">
          <fgColor indexed="64"/>
          <bgColor rgb="FFFFE699"/>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strike val="0"/>
        <condense val="0"/>
        <extend val="0"/>
        <outline val="0"/>
        <shadow val="0"/>
        <u val="none"/>
        <vertAlign val="baseline"/>
        <sz val="11"/>
        <color theme="1"/>
        <name val="Swis721 Cn BT"/>
        <family val="2"/>
        <scheme val="none"/>
      </font>
      <fill>
        <patternFill patternType="solid">
          <fgColor indexed="64"/>
          <bgColor rgb="FFFFE699"/>
        </patternFill>
      </fill>
      <alignment horizontal="center" vertical="center"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ill>
        <patternFill patternType="solid">
          <fgColor rgb="FF000000"/>
          <bgColor rgb="FFFFE699"/>
        </patternFill>
      </fill>
    </dxf>
    <dxf>
      <border outline="0">
        <bottom style="thin">
          <color auto="1"/>
        </bottom>
      </border>
    </dxf>
    <dxf>
      <font>
        <b val="0"/>
        <i val="0"/>
        <strike val="0"/>
        <condense val="0"/>
        <extend val="0"/>
        <outline val="0"/>
        <shadow val="0"/>
        <u val="none"/>
        <vertAlign val="baseline"/>
        <sz val="11"/>
        <color theme="1"/>
        <name val="Calibri"/>
        <charset val="134"/>
        <scheme val="minor"/>
      </font>
      <numFmt numFmtId="35" formatCode="_-* #,##0.00_-;\-* #,##0.00_-;_-* &quot;-&quot;??_-;_-@_-"/>
      <fill>
        <patternFill patternType="solid">
          <fgColor indexed="64"/>
          <bgColor rgb="FFFFE699"/>
        </patternFill>
      </fill>
      <border diagonalUp="0" diagonalDown="0" outline="0">
        <left style="thin">
          <color auto="1"/>
        </left>
        <right style="thin">
          <color auto="1"/>
        </right>
        <top/>
        <bottom/>
      </border>
    </dxf>
    <dxf>
      <numFmt numFmtId="166" formatCode="_-* #,##0.0\ _€_-;\-* #,##0.0\ _€_-;_-* &quot;-&quot;?\ _€_-;_-@_-"/>
      <fill>
        <patternFill patternType="solid">
          <fgColor indexed="64"/>
          <bgColor rgb="FFFFE699"/>
        </patternFill>
      </fill>
      <border diagonalUp="0" diagonalDown="0">
        <left style="thin">
          <color auto="1"/>
        </left>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font>
        <b/>
        <i/>
        <strike val="0"/>
        <condense val="0"/>
        <extend val="0"/>
        <outline val="0"/>
        <shadow val="0"/>
        <u val="none"/>
        <vertAlign val="baseline"/>
        <sz val="11"/>
        <color theme="1"/>
        <name val="Swis721 Cn BT"/>
        <family val="2"/>
        <scheme val="none"/>
      </font>
      <fill>
        <patternFill patternType="solid">
          <fgColor indexed="64"/>
          <bgColor rgb="FFFFE699"/>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strike val="0"/>
        <condense val="0"/>
        <extend val="0"/>
        <outline val="0"/>
        <shadow val="0"/>
        <u val="none"/>
        <vertAlign val="baseline"/>
        <sz val="11"/>
        <color theme="1"/>
        <name val="Swis721 Cn BT"/>
        <family val="2"/>
        <scheme val="none"/>
      </font>
      <fill>
        <patternFill patternType="solid">
          <fgColor indexed="64"/>
          <bgColor rgb="FFFFE699"/>
        </patternFill>
      </fill>
      <alignment horizontal="center" vertical="center"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ill>
        <patternFill patternType="solid">
          <fgColor indexed="64"/>
          <bgColor rgb="FFFFE699"/>
        </patternFill>
      </fill>
    </dxf>
    <dxf>
      <border outline="0">
        <bottom style="thin">
          <color auto="1"/>
        </bottom>
      </border>
    </dxf>
    <dxf>
      <font>
        <b val="0"/>
        <i val="0"/>
        <strike val="0"/>
        <condense val="0"/>
        <extend val="0"/>
        <outline val="0"/>
        <shadow val="0"/>
        <u val="none"/>
        <vertAlign val="baseline"/>
        <sz val="11"/>
        <color theme="1"/>
        <name val="Calibri"/>
        <charset val="134"/>
        <scheme val="minor"/>
      </font>
      <numFmt numFmtId="35" formatCode="_-* #,##0.00_-;\-* #,##0.00_-;_-* &quot;-&quot;??_-;_-@_-"/>
      <fill>
        <patternFill patternType="solid">
          <fgColor indexed="64"/>
          <bgColor rgb="FFFFE699"/>
        </patternFill>
      </fill>
      <border diagonalUp="0" diagonalDown="0" outline="0">
        <left style="thin">
          <color auto="1"/>
        </left>
        <right style="thin">
          <color auto="1"/>
        </right>
        <top/>
        <bottom/>
      </border>
    </dxf>
    <dxf>
      <numFmt numFmtId="166" formatCode="_-* #,##0.0\ _€_-;\-* #,##0.0\ _€_-;_-* &quot;-&quot;?\ _€_-;_-@_-"/>
      <fill>
        <patternFill patternType="solid">
          <fgColor indexed="64"/>
          <bgColor rgb="FFFFE699"/>
        </patternFill>
      </fill>
      <border diagonalUp="0" diagonalDown="0">
        <left style="thin">
          <color auto="1"/>
        </left>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font>
        <b/>
        <i/>
        <strike val="0"/>
        <condense val="0"/>
        <extend val="0"/>
        <outline val="0"/>
        <shadow val="0"/>
        <u val="none"/>
        <vertAlign val="baseline"/>
        <sz val="11"/>
        <color theme="1"/>
        <name val="Swis721 Cn BT"/>
        <family val="2"/>
        <scheme val="none"/>
      </font>
      <fill>
        <patternFill patternType="solid">
          <fgColor indexed="64"/>
          <bgColor rgb="FFFFE699"/>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strike val="0"/>
        <condense val="0"/>
        <extend val="0"/>
        <outline val="0"/>
        <shadow val="0"/>
        <u val="none"/>
        <vertAlign val="baseline"/>
        <sz val="11"/>
        <color theme="1"/>
        <name val="Swis721 Cn BT"/>
        <family val="2"/>
        <scheme val="none"/>
      </font>
      <fill>
        <patternFill patternType="solid">
          <fgColor indexed="64"/>
          <bgColor rgb="FFFFE699"/>
        </patternFill>
      </fill>
      <alignment horizontal="center" vertical="center"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ill>
        <patternFill patternType="solid">
          <fgColor indexed="64"/>
          <bgColor rgb="FFFFE699"/>
        </patternFill>
      </fill>
    </dxf>
    <dxf>
      <border outline="0">
        <bottom style="thin">
          <color auto="1"/>
        </bottom>
      </border>
    </dxf>
    <dxf>
      <font>
        <b val="0"/>
        <i val="0"/>
        <strike val="0"/>
        <condense val="0"/>
        <extend val="0"/>
        <outline val="0"/>
        <shadow val="0"/>
        <u val="none"/>
        <vertAlign val="baseline"/>
        <sz val="11"/>
        <color theme="1"/>
        <name val="Calibri"/>
        <charset val="134"/>
        <scheme val="minor"/>
      </font>
      <numFmt numFmtId="35" formatCode="_-* #,##0.00_-;\-* #,##0.00_-;_-* &quot;-&quot;??_-;_-@_-"/>
      <fill>
        <patternFill patternType="solid">
          <fgColor indexed="64"/>
          <bgColor rgb="FFFFE699"/>
        </patternFill>
      </fill>
      <border diagonalUp="0" diagonalDown="0" outline="0">
        <left style="thin">
          <color auto="1"/>
        </left>
        <right style="thin">
          <color auto="1"/>
        </right>
        <top/>
        <bottom/>
      </border>
    </dxf>
    <dxf>
      <numFmt numFmtId="166" formatCode="_-* #,##0.0\ _€_-;\-* #,##0.0\ _€_-;_-* &quot;-&quot;?\ _€_-;_-@_-"/>
      <fill>
        <patternFill patternType="solid">
          <fgColor indexed="64"/>
          <bgColor rgb="FFFFE699"/>
        </patternFill>
      </fill>
      <border diagonalUp="0" diagonalDown="0">
        <left style="thin">
          <color auto="1"/>
        </left>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font>
        <b/>
        <i/>
        <strike val="0"/>
        <condense val="0"/>
        <extend val="0"/>
        <outline val="0"/>
        <shadow val="0"/>
        <u val="none"/>
        <vertAlign val="baseline"/>
        <sz val="11"/>
        <color theme="1"/>
        <name val="Swis721 Cn BT"/>
        <family val="2"/>
        <scheme val="none"/>
      </font>
      <fill>
        <patternFill patternType="solid">
          <fgColor indexed="64"/>
          <bgColor rgb="FFFFE699"/>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strike val="0"/>
        <condense val="0"/>
        <extend val="0"/>
        <outline val="0"/>
        <shadow val="0"/>
        <u val="none"/>
        <vertAlign val="baseline"/>
        <sz val="11"/>
        <color theme="1"/>
        <name val="Swis721 Cn BT"/>
        <family val="2"/>
        <scheme val="none"/>
      </font>
      <fill>
        <patternFill patternType="solid">
          <fgColor indexed="64"/>
          <bgColor rgb="FFFFE699"/>
        </patternFill>
      </fill>
      <alignment horizontal="center" vertical="center"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ill>
        <patternFill patternType="solid">
          <fgColor indexed="64"/>
          <bgColor rgb="FFFFE699"/>
        </patternFill>
      </fill>
    </dxf>
    <dxf>
      <border outline="0">
        <bottom style="thin">
          <color auto="1"/>
        </bottom>
      </border>
    </dxf>
    <dxf>
      <font>
        <b val="0"/>
        <i val="0"/>
        <strike val="0"/>
        <condense val="0"/>
        <extend val="0"/>
        <outline val="0"/>
        <shadow val="0"/>
        <u val="none"/>
        <vertAlign val="baseline"/>
        <sz val="11"/>
        <color theme="1"/>
        <name val="Calibri"/>
        <charset val="134"/>
        <scheme val="minor"/>
      </font>
      <numFmt numFmtId="35" formatCode="_-* #,##0.00_-;\-* #,##0.00_-;_-* &quot;-&quot;??_-;_-@_-"/>
      <fill>
        <patternFill patternType="solid">
          <fgColor indexed="64"/>
          <bgColor rgb="FFFFE699"/>
        </patternFill>
      </fill>
      <border diagonalUp="0" diagonalDown="0" outline="0">
        <left style="thin">
          <color auto="1"/>
        </left>
        <right style="thin">
          <color auto="1"/>
        </right>
        <top/>
        <bottom/>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font>
        <b/>
        <i/>
        <strike val="0"/>
        <condense val="0"/>
        <extend val="0"/>
        <outline val="0"/>
        <shadow val="0"/>
        <u val="none"/>
        <vertAlign val="baseline"/>
        <sz val="11"/>
        <color theme="1"/>
        <name val="Swis721 Cn BT"/>
        <family val="2"/>
        <scheme val="none"/>
      </font>
      <fill>
        <patternFill patternType="solid">
          <fgColor indexed="64"/>
          <bgColor rgb="FFFFE699"/>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strike val="0"/>
        <condense val="0"/>
        <extend val="0"/>
        <outline val="0"/>
        <shadow val="0"/>
        <u val="none"/>
        <vertAlign val="baseline"/>
        <sz val="11"/>
        <color theme="1"/>
        <name val="Swis721 Cn BT"/>
        <family val="2"/>
        <scheme val="none"/>
      </font>
      <fill>
        <patternFill patternType="solid">
          <fgColor indexed="64"/>
          <bgColor rgb="FFFFE699"/>
        </patternFill>
      </fill>
      <alignment horizontal="center" vertical="center"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ill>
        <patternFill patternType="solid">
          <fgColor indexed="64"/>
          <bgColor rgb="FFFFE699"/>
        </patternFill>
      </fill>
    </dxf>
    <dxf>
      <border outline="0">
        <bottom style="thin">
          <color auto="1"/>
        </bottom>
      </border>
    </dxf>
    <dxf>
      <font>
        <b val="0"/>
        <i val="0"/>
        <strike val="0"/>
        <condense val="0"/>
        <extend val="0"/>
        <outline val="0"/>
        <shadow val="0"/>
        <u val="none"/>
        <vertAlign val="baseline"/>
        <sz val="11"/>
        <color theme="1"/>
        <name val="Calibri"/>
        <charset val="134"/>
        <scheme val="minor"/>
      </font>
      <numFmt numFmtId="35" formatCode="_-* #,##0.00_-;\-* #,##0.00_-;_-* &quot;-&quot;??_-;_-@_-"/>
      <fill>
        <patternFill patternType="solid">
          <fgColor indexed="64"/>
          <bgColor rgb="FFFFE699"/>
        </patternFill>
      </fill>
      <border diagonalUp="0" diagonalDown="0" outline="0">
        <left style="thin">
          <color auto="1"/>
        </left>
        <right style="thin">
          <color auto="1"/>
        </right>
        <top/>
        <bottom/>
      </border>
    </dxf>
    <dxf>
      <numFmt numFmtId="166" formatCode="_-* #,##0.0\ _€_-;\-* #,##0.0\ _€_-;_-* &quot;-&quot;?\ _€_-;_-@_-"/>
      <fill>
        <patternFill patternType="solid">
          <fgColor indexed="64"/>
          <bgColor rgb="FFFFE699"/>
        </patternFill>
      </fill>
      <border diagonalUp="0" diagonalDown="0">
        <left style="thin">
          <color auto="1"/>
        </left>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numFmt numFmtId="166" formatCode="_-* #,##0.0\ _€_-;\-* #,##0.0\ _€_-;_-* &quot;-&quot;?\ _€_-;_-@_-"/>
      <fill>
        <patternFill patternType="solid">
          <fgColor indexed="64"/>
          <bgColor rgb="FFFFE699"/>
        </patternFill>
      </fill>
      <border diagonalUp="0" diagonalDown="0">
        <left style="thin">
          <color auto="1"/>
        </left>
        <right style="thin">
          <color auto="1"/>
        </right>
        <top style="thin">
          <color auto="1"/>
        </top>
        <bottom style="thin">
          <color auto="1"/>
        </bottom>
        <vertical/>
        <horizontal/>
      </border>
    </dxf>
    <dxf>
      <font>
        <b/>
        <i/>
        <strike val="0"/>
        <condense val="0"/>
        <extend val="0"/>
        <outline val="0"/>
        <shadow val="0"/>
        <u val="none"/>
        <vertAlign val="baseline"/>
        <sz val="11"/>
        <color theme="1"/>
        <name val="Swis721 Cn BT"/>
        <family val="2"/>
        <scheme val="none"/>
      </font>
      <fill>
        <patternFill patternType="solid">
          <fgColor indexed="64"/>
          <bgColor rgb="FFFFE699"/>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strike val="0"/>
        <condense val="0"/>
        <extend val="0"/>
        <outline val="0"/>
        <shadow val="0"/>
        <u val="none"/>
        <vertAlign val="baseline"/>
        <sz val="11"/>
        <color theme="1"/>
        <name val="Swis721 Cn BT"/>
        <family val="2"/>
        <scheme val="none"/>
      </font>
      <fill>
        <patternFill patternType="solid">
          <fgColor indexed="64"/>
          <bgColor rgb="FFFFE699"/>
        </patternFill>
      </fill>
      <alignment horizontal="center" vertical="center"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ill>
        <patternFill patternType="solid">
          <fgColor indexed="64"/>
          <bgColor rgb="FFFFE699"/>
        </patternFill>
      </fill>
    </dxf>
    <dxf>
      <border outline="0">
        <bottom style="thin">
          <color auto="1"/>
        </bottom>
      </border>
    </dxf>
    <dxf>
      <numFmt numFmtId="166" formatCode="_-* #,##0.0\ _€_-;\-* #,##0.0\ _€_-;_-* &quot;-&quot;?\ _€_-;_-@_-"/>
      <fill>
        <patternFill patternType="solid">
          <fgColor indexed="64"/>
          <bgColor rgb="FFFFE699"/>
        </patternFill>
      </fill>
      <border diagonalUp="0" diagonalDown="0" outline="0">
        <left style="thin">
          <color auto="1"/>
        </left>
        <right style="thin">
          <color auto="1"/>
        </right>
        <top/>
        <bottom/>
      </border>
    </dxf>
  </dxfs>
  <tableStyles count="0" defaultTableStyle="TableStyleMedium2" defaultPivotStyle="PivotStyleMedium9"/>
  <colors>
    <mruColors>
      <color rgb="FFA6D9FC"/>
      <color rgb="FF96BCE6"/>
      <color rgb="FFDAC1ED"/>
      <color rgb="FFB2DD83"/>
      <color rgb="FFFFD9D9"/>
      <color rgb="FF039A9F"/>
      <color rgb="FFFDC062"/>
      <color rgb="FF245E9B"/>
      <color rgb="FF6AA0DC"/>
      <color rgb="FFF3A4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fr-FR"/>
              <a:t>Consommation d'énergie finale (GWh/an)</a:t>
            </a:r>
          </a:p>
        </c:rich>
      </c:tx>
      <c:overlay val="0"/>
    </c:title>
    <c:autoTitleDeleted val="0"/>
    <c:plotArea>
      <c:layout>
        <c:manualLayout>
          <c:layoutTarget val="inner"/>
          <c:xMode val="edge"/>
          <c:yMode val="edge"/>
          <c:x val="5.1222272215973003E-2"/>
          <c:y val="0.11021705720519875"/>
          <c:w val="0.58459587551556058"/>
          <c:h val="0.80258590266578123"/>
        </c:manualLayout>
      </c:layout>
      <c:lineChart>
        <c:grouping val="standard"/>
        <c:varyColors val="0"/>
        <c:ser>
          <c:idx val="1"/>
          <c:order val="0"/>
          <c:tx>
            <c:strRef>
              <c:f>'Récapitulatif évolution'!$LQ$11</c:f>
              <c:strCache>
                <c:ptCount val="1"/>
                <c:pt idx="0">
                  <c:v>Consommations : objectif réglementaire</c:v>
                </c:pt>
              </c:strCache>
            </c:strRef>
          </c:tx>
          <c:spPr>
            <a:ln>
              <a:solidFill>
                <a:srgbClr val="039A9F"/>
              </a:solidFill>
            </a:ln>
          </c:spPr>
          <c:marker>
            <c:symbol val="none"/>
          </c:marker>
          <c:cat>
            <c:numRef>
              <c:f>'Récapitulatif évolution'!$LP$13:$LP$22</c:f>
              <c:numCache>
                <c:formatCode>General</c:formatCode>
                <c:ptCount val="10"/>
                <c:pt idx="1">
                  <c:v>2022</c:v>
                </c:pt>
                <c:pt idx="2">
                  <c:v>2023</c:v>
                </c:pt>
                <c:pt idx="3">
                  <c:v>2024</c:v>
                </c:pt>
                <c:pt idx="4">
                  <c:v>2025</c:v>
                </c:pt>
                <c:pt idx="5">
                  <c:v>2026</c:v>
                </c:pt>
                <c:pt idx="6">
                  <c:v>2027</c:v>
                </c:pt>
                <c:pt idx="7">
                  <c:v>2028</c:v>
                </c:pt>
                <c:pt idx="8">
                  <c:v>2029</c:v>
                </c:pt>
                <c:pt idx="9">
                  <c:v>2030</c:v>
                </c:pt>
              </c:numCache>
            </c:numRef>
          </c:cat>
          <c:val>
            <c:numRef>
              <c:f>'Récapitulatif évolution'!$LQ$13:$LQ$22</c:f>
              <c:numCache>
                <c:formatCode>_-* #\ ##0_-;\-* #\ ##0_-;_-* "-"??_-;_-@_-</c:formatCode>
                <c:ptCount val="10"/>
                <c:pt idx="1">
                  <c:v>507.37157999999999</c:v>
                </c:pt>
                <c:pt idx="2">
                  <c:v>494.17752000000002</c:v>
                </c:pt>
                <c:pt idx="3">
                  <c:v>480.98345999999998</c:v>
                </c:pt>
                <c:pt idx="4">
                  <c:v>467.7894</c:v>
                </c:pt>
                <c:pt idx="5">
                  <c:v>454.59533999999996</c:v>
                </c:pt>
                <c:pt idx="6">
                  <c:v>441.40127999999999</c:v>
                </c:pt>
                <c:pt idx="7">
                  <c:v>428.20722000000001</c:v>
                </c:pt>
                <c:pt idx="8">
                  <c:v>415.01315999999997</c:v>
                </c:pt>
                <c:pt idx="9">
                  <c:v>401.81909999999999</c:v>
                </c:pt>
              </c:numCache>
            </c:numRef>
          </c:val>
          <c:smooth val="0"/>
          <c:extLst>
            <c:ext xmlns:c16="http://schemas.microsoft.com/office/drawing/2014/chart" uri="{C3380CC4-5D6E-409C-BE32-E72D297353CC}">
              <c16:uniqueId val="{00000000-927E-4BF7-8344-83ACFD571695}"/>
            </c:ext>
          </c:extLst>
        </c:ser>
        <c:ser>
          <c:idx val="2"/>
          <c:order val="1"/>
          <c:tx>
            <c:strRef>
              <c:f>'Récapitulatif évolution'!$LR$11</c:f>
              <c:strCache>
                <c:ptCount val="1"/>
                <c:pt idx="0">
                  <c:v>Consommations : objectif stratégie</c:v>
                </c:pt>
              </c:strCache>
            </c:strRef>
          </c:tx>
          <c:spPr>
            <a:ln>
              <a:solidFill>
                <a:srgbClr val="8ACCC2"/>
              </a:solidFill>
            </a:ln>
          </c:spPr>
          <c:marker>
            <c:symbol val="none"/>
          </c:marker>
          <c:cat>
            <c:numRef>
              <c:f>'Récapitulatif évolution'!$LP$13:$LP$22</c:f>
              <c:numCache>
                <c:formatCode>General</c:formatCode>
                <c:ptCount val="10"/>
                <c:pt idx="1">
                  <c:v>2022</c:v>
                </c:pt>
                <c:pt idx="2">
                  <c:v>2023</c:v>
                </c:pt>
                <c:pt idx="3">
                  <c:v>2024</c:v>
                </c:pt>
                <c:pt idx="4">
                  <c:v>2025</c:v>
                </c:pt>
                <c:pt idx="5">
                  <c:v>2026</c:v>
                </c:pt>
                <c:pt idx="6">
                  <c:v>2027</c:v>
                </c:pt>
                <c:pt idx="7">
                  <c:v>2028</c:v>
                </c:pt>
                <c:pt idx="8">
                  <c:v>2029</c:v>
                </c:pt>
                <c:pt idx="9">
                  <c:v>2030</c:v>
                </c:pt>
              </c:numCache>
            </c:numRef>
          </c:cat>
          <c:val>
            <c:numRef>
              <c:f>'Récapitulatif évolution'!$LR$13:$LR$22</c:f>
              <c:numCache>
                <c:formatCode>_-* #\ ##0_-;\-* #\ ##0_-;_-* "-"??_-;_-@_-</c:formatCode>
                <c:ptCount val="10"/>
                <c:pt idx="1">
                  <c:v>521.36527999999998</c:v>
                </c:pt>
                <c:pt idx="2">
                  <c:v>510.17032</c:v>
                </c:pt>
                <c:pt idx="3">
                  <c:v>498.97536000000002</c:v>
                </c:pt>
                <c:pt idx="4">
                  <c:v>487.78039999999999</c:v>
                </c:pt>
                <c:pt idx="5">
                  <c:v>476.58544000000001</c:v>
                </c:pt>
                <c:pt idx="6">
                  <c:v>465.39048000000003</c:v>
                </c:pt>
                <c:pt idx="7">
                  <c:v>454.19551999999999</c:v>
                </c:pt>
                <c:pt idx="8">
                  <c:v>443.00056000000001</c:v>
                </c:pt>
                <c:pt idx="9">
                  <c:v>431.80560000000003</c:v>
                </c:pt>
              </c:numCache>
            </c:numRef>
          </c:val>
          <c:smooth val="0"/>
          <c:extLst>
            <c:ext xmlns:c16="http://schemas.microsoft.com/office/drawing/2014/chart" uri="{C3380CC4-5D6E-409C-BE32-E72D297353CC}">
              <c16:uniqueId val="{00000001-927E-4BF7-8344-83ACFD571695}"/>
            </c:ext>
          </c:extLst>
        </c:ser>
        <c:ser>
          <c:idx val="5"/>
          <c:order val="2"/>
          <c:tx>
            <c:strRef>
              <c:f>'Récapitulatif évolution'!$LT$11</c:f>
              <c:strCache>
                <c:ptCount val="1"/>
                <c:pt idx="0">
                  <c:v>EnR&amp;R : objectif réglementaire</c:v>
                </c:pt>
              </c:strCache>
            </c:strRef>
          </c:tx>
          <c:spPr>
            <a:ln>
              <a:solidFill>
                <a:schemeClr val="accent6"/>
              </a:solidFill>
            </a:ln>
          </c:spPr>
          <c:marker>
            <c:symbol val="none"/>
          </c:marker>
          <c:cat>
            <c:numRef>
              <c:f>'Récapitulatif évolution'!$LP$13:$LP$22</c:f>
              <c:numCache>
                <c:formatCode>General</c:formatCode>
                <c:ptCount val="10"/>
                <c:pt idx="1">
                  <c:v>2022</c:v>
                </c:pt>
                <c:pt idx="2">
                  <c:v>2023</c:v>
                </c:pt>
                <c:pt idx="3">
                  <c:v>2024</c:v>
                </c:pt>
                <c:pt idx="4">
                  <c:v>2025</c:v>
                </c:pt>
                <c:pt idx="5">
                  <c:v>2026</c:v>
                </c:pt>
                <c:pt idx="6">
                  <c:v>2027</c:v>
                </c:pt>
                <c:pt idx="7">
                  <c:v>2028</c:v>
                </c:pt>
                <c:pt idx="8">
                  <c:v>2029</c:v>
                </c:pt>
                <c:pt idx="9">
                  <c:v>2030</c:v>
                </c:pt>
              </c:numCache>
            </c:numRef>
          </c:cat>
          <c:val>
            <c:numRef>
              <c:f>'Récapitulatif évolution'!$LT$13:$LT$22</c:f>
              <c:numCache>
                <c:formatCode>_-* #\ ##0_-;\-* #\ ##0_-;_-* "-"??_-;_-@_-</c:formatCode>
                <c:ptCount val="10"/>
                <c:pt idx="1">
                  <c:v>44.173333333333332</c:v>
                </c:pt>
                <c:pt idx="2">
                  <c:v>46.526666666666664</c:v>
                </c:pt>
                <c:pt idx="3">
                  <c:v>48.879999999999995</c:v>
                </c:pt>
                <c:pt idx="4">
                  <c:v>51.233333333333334</c:v>
                </c:pt>
                <c:pt idx="5">
                  <c:v>53.586666666666659</c:v>
                </c:pt>
                <c:pt idx="6">
                  <c:v>55.94</c:v>
                </c:pt>
                <c:pt idx="7">
                  <c:v>58.293333333333329</c:v>
                </c:pt>
                <c:pt idx="8">
                  <c:v>60.646666666666661</c:v>
                </c:pt>
                <c:pt idx="9">
                  <c:v>63</c:v>
                </c:pt>
              </c:numCache>
            </c:numRef>
          </c:val>
          <c:smooth val="0"/>
          <c:extLst>
            <c:ext xmlns:c16="http://schemas.microsoft.com/office/drawing/2014/chart" uri="{C3380CC4-5D6E-409C-BE32-E72D297353CC}">
              <c16:uniqueId val="{00000002-927E-4BF7-8344-83ACFD571695}"/>
            </c:ext>
          </c:extLst>
        </c:ser>
        <c:ser>
          <c:idx val="3"/>
          <c:order val="3"/>
          <c:tx>
            <c:strRef>
              <c:f>'Récapitulatif évolution'!$LS$11</c:f>
              <c:strCache>
                <c:ptCount val="1"/>
                <c:pt idx="0">
                  <c:v>Consommations : mesure réelle</c:v>
                </c:pt>
              </c:strCache>
            </c:strRef>
          </c:tx>
          <c:marker>
            <c:symbol val="none"/>
          </c:marker>
          <c:cat>
            <c:numRef>
              <c:f>'Récapitulatif évolution'!$LP$13:$LP$22</c:f>
              <c:numCache>
                <c:formatCode>General</c:formatCode>
                <c:ptCount val="10"/>
                <c:pt idx="1">
                  <c:v>2022</c:v>
                </c:pt>
                <c:pt idx="2">
                  <c:v>2023</c:v>
                </c:pt>
                <c:pt idx="3">
                  <c:v>2024</c:v>
                </c:pt>
                <c:pt idx="4">
                  <c:v>2025</c:v>
                </c:pt>
                <c:pt idx="5">
                  <c:v>2026</c:v>
                </c:pt>
                <c:pt idx="6">
                  <c:v>2027</c:v>
                </c:pt>
                <c:pt idx="7">
                  <c:v>2028</c:v>
                </c:pt>
                <c:pt idx="8">
                  <c:v>2029</c:v>
                </c:pt>
                <c:pt idx="9">
                  <c:v>2030</c:v>
                </c:pt>
              </c:numCache>
            </c:numRef>
          </c:cat>
          <c:val>
            <c:numRef>
              <c:f>'Récapitulatif évolution'!$LS$13:$LS$22</c:f>
              <c:numCache>
                <c:formatCode>_-* #\ ##0_-;\-* #\ ##0_-;_-* "-"??_-;_-@_-</c:formatCode>
                <c:ptCount val="10"/>
                <c:pt idx="1">
                  <c:v>599.73</c:v>
                </c:pt>
                <c:pt idx="2">
                  <c:v>599.73</c:v>
                </c:pt>
                <c:pt idx="3">
                  <c:v>599.73</c:v>
                </c:pt>
                <c:pt idx="4">
                  <c:v>599.73</c:v>
                </c:pt>
                <c:pt idx="5">
                  <c:v>599.73</c:v>
                </c:pt>
                <c:pt idx="6">
                  <c:v>599.73</c:v>
                </c:pt>
                <c:pt idx="7">
                  <c:v>599.73</c:v>
                </c:pt>
                <c:pt idx="8">
                  <c:v>599.73</c:v>
                </c:pt>
                <c:pt idx="9">
                  <c:v>599.73</c:v>
                </c:pt>
              </c:numCache>
            </c:numRef>
          </c:val>
          <c:smooth val="0"/>
          <c:extLst>
            <c:ext xmlns:c16="http://schemas.microsoft.com/office/drawing/2014/chart" uri="{C3380CC4-5D6E-409C-BE32-E72D297353CC}">
              <c16:uniqueId val="{00000003-927E-4BF7-8344-83ACFD571695}"/>
            </c:ext>
          </c:extLst>
        </c:ser>
        <c:ser>
          <c:idx val="0"/>
          <c:order val="4"/>
          <c:tx>
            <c:strRef>
              <c:f>'Récapitulatif évolution'!$LU$11</c:f>
              <c:strCache>
                <c:ptCount val="1"/>
                <c:pt idx="0">
                  <c:v>EnR&amp;R : objectif stratégie</c:v>
                </c:pt>
              </c:strCache>
            </c:strRef>
          </c:tx>
          <c:spPr>
            <a:ln>
              <a:solidFill>
                <a:schemeClr val="accent6">
                  <a:lumMod val="20000"/>
                  <a:lumOff val="80000"/>
                </a:schemeClr>
              </a:solidFill>
            </a:ln>
          </c:spPr>
          <c:marker>
            <c:symbol val="none"/>
          </c:marker>
          <c:cat>
            <c:numRef>
              <c:f>'Récapitulatif évolution'!$LP$13:$LP$22</c:f>
              <c:numCache>
                <c:formatCode>General</c:formatCode>
                <c:ptCount val="10"/>
                <c:pt idx="1">
                  <c:v>2022</c:v>
                </c:pt>
                <c:pt idx="2">
                  <c:v>2023</c:v>
                </c:pt>
                <c:pt idx="3">
                  <c:v>2024</c:v>
                </c:pt>
                <c:pt idx="4">
                  <c:v>2025</c:v>
                </c:pt>
                <c:pt idx="5">
                  <c:v>2026</c:v>
                </c:pt>
                <c:pt idx="6">
                  <c:v>2027</c:v>
                </c:pt>
                <c:pt idx="7">
                  <c:v>2028</c:v>
                </c:pt>
                <c:pt idx="8">
                  <c:v>2029</c:v>
                </c:pt>
                <c:pt idx="9">
                  <c:v>2030</c:v>
                </c:pt>
              </c:numCache>
            </c:numRef>
          </c:cat>
          <c:val>
            <c:numRef>
              <c:f>'Récapitulatif évolution'!$LU$13:$LU$22</c:f>
              <c:numCache>
                <c:formatCode>_-* #\ ##0_-;\-* #\ ##0_-;_-* "-"??_-;_-@_-</c:formatCode>
                <c:ptCount val="10"/>
                <c:pt idx="1">
                  <c:v>46.039999999999992</c:v>
                </c:pt>
                <c:pt idx="2">
                  <c:v>48.66</c:v>
                </c:pt>
                <c:pt idx="3">
                  <c:v>51.28</c:v>
                </c:pt>
                <c:pt idx="4">
                  <c:v>53.899999999999991</c:v>
                </c:pt>
                <c:pt idx="5">
                  <c:v>56.519999999999996</c:v>
                </c:pt>
                <c:pt idx="6">
                  <c:v>59.14</c:v>
                </c:pt>
                <c:pt idx="7">
                  <c:v>61.759999999999991</c:v>
                </c:pt>
                <c:pt idx="8">
                  <c:v>64.38</c:v>
                </c:pt>
                <c:pt idx="9">
                  <c:v>67</c:v>
                </c:pt>
              </c:numCache>
            </c:numRef>
          </c:val>
          <c:smooth val="0"/>
          <c:extLst>
            <c:ext xmlns:c16="http://schemas.microsoft.com/office/drawing/2014/chart" uri="{C3380CC4-5D6E-409C-BE32-E72D297353CC}">
              <c16:uniqueId val="{00000004-927E-4BF7-8344-83ACFD571695}"/>
            </c:ext>
          </c:extLst>
        </c:ser>
        <c:ser>
          <c:idx val="4"/>
          <c:order val="5"/>
          <c:tx>
            <c:strRef>
              <c:f>'Récapitulatif évolution'!$LV$11</c:f>
              <c:strCache>
                <c:ptCount val="1"/>
                <c:pt idx="0">
                  <c:v>EnR&amp;R : mesure réelle</c:v>
                </c:pt>
              </c:strCache>
            </c:strRef>
          </c:tx>
          <c:spPr>
            <a:ln>
              <a:solidFill>
                <a:schemeClr val="accent6">
                  <a:lumMod val="50000"/>
                </a:schemeClr>
              </a:solidFill>
            </a:ln>
          </c:spPr>
          <c:marker>
            <c:symbol val="none"/>
          </c:marker>
          <c:cat>
            <c:numRef>
              <c:f>'Récapitulatif évolution'!$LP$13:$LP$22</c:f>
              <c:numCache>
                <c:formatCode>General</c:formatCode>
                <c:ptCount val="10"/>
                <c:pt idx="1">
                  <c:v>2022</c:v>
                </c:pt>
                <c:pt idx="2">
                  <c:v>2023</c:v>
                </c:pt>
                <c:pt idx="3">
                  <c:v>2024</c:v>
                </c:pt>
                <c:pt idx="4">
                  <c:v>2025</c:v>
                </c:pt>
                <c:pt idx="5">
                  <c:v>2026</c:v>
                </c:pt>
                <c:pt idx="6">
                  <c:v>2027</c:v>
                </c:pt>
                <c:pt idx="7">
                  <c:v>2028</c:v>
                </c:pt>
                <c:pt idx="8">
                  <c:v>2029</c:v>
                </c:pt>
                <c:pt idx="9">
                  <c:v>2030</c:v>
                </c:pt>
              </c:numCache>
            </c:numRef>
          </c:cat>
          <c:val>
            <c:numRef>
              <c:f>'Récapitulatif évolution'!$LV$13:$LV$22</c:f>
              <c:numCache>
                <c:formatCode>_-* #\ ##0_-;\-* #\ ##0_-;_-* "-"??_-;_-@_-</c:formatCode>
                <c:ptCount val="10"/>
                <c:pt idx="1">
                  <c:v>27.7</c:v>
                </c:pt>
                <c:pt idx="2">
                  <c:v>27.7</c:v>
                </c:pt>
                <c:pt idx="3">
                  <c:v>27.7</c:v>
                </c:pt>
                <c:pt idx="4">
                  <c:v>27.7</c:v>
                </c:pt>
                <c:pt idx="5">
                  <c:v>27.7</c:v>
                </c:pt>
                <c:pt idx="6">
                  <c:v>27.7</c:v>
                </c:pt>
                <c:pt idx="7">
                  <c:v>27.7</c:v>
                </c:pt>
                <c:pt idx="8">
                  <c:v>27.7</c:v>
                </c:pt>
                <c:pt idx="9">
                  <c:v>27.7</c:v>
                </c:pt>
              </c:numCache>
            </c:numRef>
          </c:val>
          <c:smooth val="0"/>
          <c:extLst>
            <c:ext xmlns:c16="http://schemas.microsoft.com/office/drawing/2014/chart" uri="{C3380CC4-5D6E-409C-BE32-E72D297353CC}">
              <c16:uniqueId val="{00000005-927E-4BF7-8344-83ACFD571695}"/>
            </c:ext>
          </c:extLst>
        </c:ser>
        <c:dLbls>
          <c:showLegendKey val="0"/>
          <c:showVal val="0"/>
          <c:showCatName val="0"/>
          <c:showSerName val="0"/>
          <c:showPercent val="0"/>
          <c:showBubbleSize val="0"/>
        </c:dLbls>
        <c:smooth val="0"/>
        <c:axId val="261160431"/>
        <c:axId val="1"/>
      </c:lineChart>
      <c:catAx>
        <c:axId val="261160431"/>
        <c:scaling>
          <c:orientation val="minMax"/>
        </c:scaling>
        <c:delete val="0"/>
        <c:axPos val="b"/>
        <c:numFmt formatCode="General" sourceLinked="1"/>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fr-FR"/>
          </a:p>
        </c:txPr>
        <c:crossAx val="261160431"/>
        <c:crosses val="autoZero"/>
        <c:crossBetween val="between"/>
      </c:valAx>
    </c:plotArea>
    <c:legend>
      <c:legendPos val="r"/>
      <c:legendEntry>
        <c:idx val="2"/>
        <c:delete val="1"/>
      </c:legendEntry>
      <c:layout>
        <c:manualLayout>
          <c:xMode val="edge"/>
          <c:yMode val="edge"/>
          <c:x val="0.65147874015748031"/>
          <c:y val="0.199185466274547"/>
          <c:w val="0.33806809148856393"/>
          <c:h val="0.7478024855326818"/>
        </c:manualLayout>
      </c:layout>
      <c:overlay val="0"/>
      <c:txPr>
        <a:bodyPr/>
        <a:lstStyle/>
        <a:p>
          <a:pPr>
            <a:defRPr sz="1285" b="0" i="0" u="none" strike="noStrike" baseline="0">
              <a:solidFill>
                <a:srgbClr val="000000"/>
              </a:solidFill>
              <a:latin typeface="Calibri"/>
              <a:ea typeface="Calibri"/>
              <a:cs typeface="Calibri"/>
            </a:defRPr>
          </a:pPr>
          <a:endParaRPr lang="fr-FR"/>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800" b="1" i="0" u="none" strike="noStrike" kern="1200" spc="0" baseline="0">
                <a:solidFill>
                  <a:srgbClr val="000000"/>
                </a:solidFill>
                <a:latin typeface="Calibri"/>
                <a:ea typeface="Calibri"/>
                <a:cs typeface="Calibri"/>
              </a:defRPr>
            </a:pPr>
            <a:r>
              <a:rPr lang="en-US" sz="1800" b="1" i="0" u="none" strike="noStrike" kern="1200" baseline="0">
                <a:solidFill>
                  <a:srgbClr val="000000"/>
                </a:solidFill>
                <a:latin typeface="Calibri"/>
                <a:ea typeface="Calibri"/>
                <a:cs typeface="Calibri"/>
              </a:rPr>
              <a:t>Zoom sectoriel objectifs atteints par rapport aux objectifs stratégiques en Gwh </a:t>
            </a:r>
          </a:p>
        </c:rich>
      </c:tx>
      <c:overlay val="0"/>
      <c:spPr>
        <a:noFill/>
        <a:ln>
          <a:noFill/>
        </a:ln>
        <a:effectLst/>
      </c:spPr>
      <c:txPr>
        <a:bodyPr rot="0" spcFirstLastPara="1" vertOverflow="ellipsis" vert="horz" wrap="square" anchor="ctr" anchorCtr="1"/>
        <a:lstStyle/>
        <a:p>
          <a:pPr>
            <a:defRPr lang="en-US" sz="1800" b="1" i="0" u="none" strike="noStrike" kern="1200" spc="0" baseline="0">
              <a:solidFill>
                <a:srgbClr val="000000"/>
              </a:solidFill>
              <a:latin typeface="Calibri"/>
              <a:ea typeface="Calibri"/>
              <a:cs typeface="Calibri"/>
            </a:defRPr>
          </a:pPr>
          <a:endParaRPr lang="fr-FR"/>
        </a:p>
      </c:txPr>
    </c:title>
    <c:autoTitleDeleted val="0"/>
    <c:plotArea>
      <c:layout/>
      <c:barChart>
        <c:barDir val="col"/>
        <c:grouping val="clustered"/>
        <c:varyColors val="0"/>
        <c:ser>
          <c:idx val="0"/>
          <c:order val="0"/>
          <c:tx>
            <c:strRef>
              <c:f>'Récapitulatif évolution'!$F$20</c:f>
              <c:strCache>
                <c:ptCount val="1"/>
                <c:pt idx="0">
                  <c:v>Objectif stratégie (année N)</c:v>
                </c:pt>
              </c:strCache>
            </c:strRef>
          </c:tx>
          <c:spPr>
            <a:solidFill>
              <a:schemeClr val="accent1"/>
            </a:solidFill>
            <a:ln>
              <a:noFill/>
            </a:ln>
            <a:effectLst/>
          </c:spPr>
          <c:invertIfNegative val="0"/>
          <c:cat>
            <c:strRef>
              <c:f>'Récapitulatif évolution'!$G$19:$K$19</c:f>
              <c:strCache>
                <c:ptCount val="5"/>
                <c:pt idx="0">
                  <c:v>Résidentiel</c:v>
                </c:pt>
                <c:pt idx="1">
                  <c:v>Tertiaire</c:v>
                </c:pt>
                <c:pt idx="2">
                  <c:v>Transports</c:v>
                </c:pt>
                <c:pt idx="3">
                  <c:v>Industrie</c:v>
                </c:pt>
                <c:pt idx="4">
                  <c:v>Agriculture</c:v>
                </c:pt>
              </c:strCache>
            </c:strRef>
          </c:cat>
          <c:val>
            <c:numRef>
              <c:f>'Récapitulatif évolution'!$G$20:$K$20</c:f>
              <c:numCache>
                <c:formatCode>#,##0</c:formatCode>
                <c:ptCount val="5"/>
                <c:pt idx="0">
                  <c:v>131.05333333333334</c:v>
                </c:pt>
                <c:pt idx="1">
                  <c:v>51</c:v>
                </c:pt>
                <c:pt idx="2">
                  <c:v>146.60000000000002</c:v>
                </c:pt>
                <c:pt idx="3">
                  <c:v>122.68</c:v>
                </c:pt>
                <c:pt idx="4">
                  <c:v>2.1639999999999997</c:v>
                </c:pt>
              </c:numCache>
            </c:numRef>
          </c:val>
          <c:extLst>
            <c:ext xmlns:c16="http://schemas.microsoft.com/office/drawing/2014/chart" uri="{C3380CC4-5D6E-409C-BE32-E72D297353CC}">
              <c16:uniqueId val="{00000000-8EF0-4A28-9B3E-ABF08B52BB48}"/>
            </c:ext>
          </c:extLst>
        </c:ser>
        <c:dLbls>
          <c:showLegendKey val="0"/>
          <c:showVal val="0"/>
          <c:showCatName val="0"/>
          <c:showSerName val="0"/>
          <c:showPercent val="0"/>
          <c:showBubbleSize val="0"/>
        </c:dLbls>
        <c:gapWidth val="150"/>
        <c:axId val="378323935"/>
        <c:axId val="378323103"/>
      </c:barChart>
      <c:lineChart>
        <c:grouping val="standard"/>
        <c:varyColors val="0"/>
        <c:ser>
          <c:idx val="1"/>
          <c:order val="1"/>
          <c:tx>
            <c:strRef>
              <c:f>'Récapitulatif évolution'!$F$22</c:f>
              <c:strCache>
                <c:ptCount val="1"/>
                <c:pt idx="0">
                  <c:v>Objectif atteint (année N)</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'Récapitulatif évolution'!$G$19:$K$19</c:f>
              <c:strCache>
                <c:ptCount val="5"/>
                <c:pt idx="0">
                  <c:v>Résidentiel</c:v>
                </c:pt>
                <c:pt idx="1">
                  <c:v>Tertiaire</c:v>
                </c:pt>
                <c:pt idx="2">
                  <c:v>Transports</c:v>
                </c:pt>
                <c:pt idx="3">
                  <c:v>Industrie</c:v>
                </c:pt>
                <c:pt idx="4">
                  <c:v>Agriculture</c:v>
                </c:pt>
              </c:strCache>
            </c:strRef>
          </c:cat>
          <c:val>
            <c:numRef>
              <c:f>'Récapitulatif évolution'!$G$22:$K$22</c:f>
              <c:numCache>
                <c:formatCode>#,##0</c:formatCode>
                <c:ptCount val="5"/>
                <c:pt idx="0">
                  <c:v>157.4</c:v>
                </c:pt>
                <c:pt idx="1">
                  <c:v>57.5</c:v>
                </c:pt>
                <c:pt idx="2">
                  <c:v>215.5</c:v>
                </c:pt>
                <c:pt idx="3">
                  <c:v>166.1</c:v>
                </c:pt>
                <c:pt idx="4">
                  <c:v>3.23</c:v>
                </c:pt>
              </c:numCache>
            </c:numRef>
          </c:val>
          <c:smooth val="0"/>
          <c:extLst>
            <c:ext xmlns:c16="http://schemas.microsoft.com/office/drawing/2014/chart" uri="{C3380CC4-5D6E-409C-BE32-E72D297353CC}">
              <c16:uniqueId val="{0000000A-8EF0-4A28-9B3E-ABF08B52BB48}"/>
            </c:ext>
          </c:extLst>
        </c:ser>
        <c:dLbls>
          <c:showLegendKey val="0"/>
          <c:showVal val="0"/>
          <c:showCatName val="0"/>
          <c:showSerName val="0"/>
          <c:showPercent val="0"/>
          <c:showBubbleSize val="0"/>
        </c:dLbls>
        <c:marker val="1"/>
        <c:smooth val="0"/>
        <c:axId val="378323935"/>
        <c:axId val="378323103"/>
      </c:lineChart>
      <c:catAx>
        <c:axId val="3783239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fr-FR"/>
          </a:p>
        </c:txPr>
        <c:crossAx val="378323103"/>
        <c:crosses val="autoZero"/>
        <c:auto val="1"/>
        <c:lblAlgn val="ctr"/>
        <c:lblOffset val="100"/>
        <c:noMultiLvlLbl val="0"/>
      </c:catAx>
      <c:valAx>
        <c:axId val="37832310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783239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fr-FR"/>
              <a:t>Emissions de GES(TeqCO2/an)</a:t>
            </a:r>
          </a:p>
        </c:rich>
      </c:tx>
      <c:overlay val="0"/>
    </c:title>
    <c:autoTitleDeleted val="0"/>
    <c:plotArea>
      <c:layout>
        <c:manualLayout>
          <c:layoutTarget val="inner"/>
          <c:xMode val="edge"/>
          <c:yMode val="edge"/>
          <c:x val="5.1222272215973003E-2"/>
          <c:y val="0.11021705720519875"/>
          <c:w val="0.58459587551556058"/>
          <c:h val="0.80258590266578123"/>
        </c:manualLayout>
      </c:layout>
      <c:lineChart>
        <c:grouping val="standard"/>
        <c:varyColors val="0"/>
        <c:ser>
          <c:idx val="1"/>
          <c:order val="0"/>
          <c:tx>
            <c:strRef>
              <c:f>'Récapitulatif évolution'!$LQ$28</c:f>
              <c:strCache>
                <c:ptCount val="1"/>
                <c:pt idx="0">
                  <c:v>GES : objectif réglementaire</c:v>
                </c:pt>
              </c:strCache>
            </c:strRef>
          </c:tx>
          <c:spPr>
            <a:ln>
              <a:solidFill>
                <a:srgbClr val="039A9F"/>
              </a:solidFill>
            </a:ln>
          </c:spPr>
          <c:marker>
            <c:symbol val="none"/>
          </c:marker>
          <c:cat>
            <c:numRef>
              <c:f>'Récapitulatif évolution'!$LP$13:$LP$22</c:f>
              <c:numCache>
                <c:formatCode>General</c:formatCode>
                <c:ptCount val="10"/>
                <c:pt idx="1">
                  <c:v>2022</c:v>
                </c:pt>
                <c:pt idx="2">
                  <c:v>2023</c:v>
                </c:pt>
                <c:pt idx="3">
                  <c:v>2024</c:v>
                </c:pt>
                <c:pt idx="4">
                  <c:v>2025</c:v>
                </c:pt>
                <c:pt idx="5">
                  <c:v>2026</c:v>
                </c:pt>
                <c:pt idx="6">
                  <c:v>2027</c:v>
                </c:pt>
                <c:pt idx="7">
                  <c:v>2028</c:v>
                </c:pt>
                <c:pt idx="8">
                  <c:v>2029</c:v>
                </c:pt>
                <c:pt idx="9">
                  <c:v>2030</c:v>
                </c:pt>
              </c:numCache>
            </c:numRef>
          </c:cat>
          <c:val>
            <c:numRef>
              <c:f>'Récapitulatif évolution'!$LQ$30:$LQ$39</c:f>
              <c:numCache>
                <c:formatCode>_-* #\ ##0_-;\-* #\ ##0_-;_-* "-"??_-;_-@_-</c:formatCode>
                <c:ptCount val="10"/>
                <c:pt idx="1">
                  <c:v>84365.631999999998</c:v>
                </c:pt>
                <c:pt idx="2">
                  <c:v>81932.008000000002</c:v>
                </c:pt>
                <c:pt idx="3">
                  <c:v>79498.383999999991</c:v>
                </c:pt>
                <c:pt idx="4">
                  <c:v>77064.759999999995</c:v>
                </c:pt>
                <c:pt idx="5">
                  <c:v>74631.135999999999</c:v>
                </c:pt>
                <c:pt idx="6">
                  <c:v>72197.511999999988</c:v>
                </c:pt>
                <c:pt idx="7">
                  <c:v>69763.887999999992</c:v>
                </c:pt>
                <c:pt idx="8">
                  <c:v>67330.263999999996</c:v>
                </c:pt>
                <c:pt idx="9">
                  <c:v>64896.639999999999</c:v>
                </c:pt>
              </c:numCache>
            </c:numRef>
          </c:val>
          <c:smooth val="0"/>
          <c:extLst>
            <c:ext xmlns:c16="http://schemas.microsoft.com/office/drawing/2014/chart" uri="{C3380CC4-5D6E-409C-BE32-E72D297353CC}">
              <c16:uniqueId val="{00000000-7B3A-44F0-A0E6-157B625CDAEE}"/>
            </c:ext>
          </c:extLst>
        </c:ser>
        <c:ser>
          <c:idx val="2"/>
          <c:order val="1"/>
          <c:tx>
            <c:strRef>
              <c:f>'Récapitulatif évolution'!$LR$28</c:f>
              <c:strCache>
                <c:ptCount val="1"/>
                <c:pt idx="0">
                  <c:v>GES : Objectif stratégie</c:v>
                </c:pt>
              </c:strCache>
            </c:strRef>
          </c:tx>
          <c:spPr>
            <a:ln>
              <a:solidFill>
                <a:srgbClr val="8ACCC2"/>
              </a:solidFill>
            </a:ln>
          </c:spPr>
          <c:marker>
            <c:symbol val="none"/>
          </c:marker>
          <c:cat>
            <c:numRef>
              <c:f>'Récapitulatif évolution'!$LP$13:$LP$22</c:f>
              <c:numCache>
                <c:formatCode>General</c:formatCode>
                <c:ptCount val="10"/>
                <c:pt idx="1">
                  <c:v>2022</c:v>
                </c:pt>
                <c:pt idx="2">
                  <c:v>2023</c:v>
                </c:pt>
                <c:pt idx="3">
                  <c:v>2024</c:v>
                </c:pt>
                <c:pt idx="4">
                  <c:v>2025</c:v>
                </c:pt>
                <c:pt idx="5">
                  <c:v>2026</c:v>
                </c:pt>
                <c:pt idx="6">
                  <c:v>2027</c:v>
                </c:pt>
                <c:pt idx="7">
                  <c:v>2028</c:v>
                </c:pt>
                <c:pt idx="8">
                  <c:v>2029</c:v>
                </c:pt>
                <c:pt idx="9">
                  <c:v>2030</c:v>
                </c:pt>
              </c:numCache>
            </c:numRef>
          </c:cat>
          <c:val>
            <c:numRef>
              <c:f>'Récapitulatif évolution'!$LR$30:$LR$39</c:f>
              <c:numCache>
                <c:formatCode>_-* #\ ##0_-;\-* #\ ##0_-;_-* "-"??_-;_-@_-</c:formatCode>
                <c:ptCount val="10"/>
                <c:pt idx="1">
                  <c:v>83892.427333333326</c:v>
                </c:pt>
                <c:pt idx="2">
                  <c:v>81391.202666666664</c:v>
                </c:pt>
                <c:pt idx="3">
                  <c:v>78889.978000000003</c:v>
                </c:pt>
                <c:pt idx="4">
                  <c:v>76388.753333333327</c:v>
                </c:pt>
                <c:pt idx="5">
                  <c:v>73887.528666666665</c:v>
                </c:pt>
                <c:pt idx="6">
                  <c:v>71386.304000000004</c:v>
                </c:pt>
                <c:pt idx="7">
                  <c:v>68885.079333333328</c:v>
                </c:pt>
                <c:pt idx="8">
                  <c:v>66383.854666666666</c:v>
                </c:pt>
                <c:pt idx="9">
                  <c:v>63882.63</c:v>
                </c:pt>
              </c:numCache>
            </c:numRef>
          </c:val>
          <c:smooth val="0"/>
          <c:extLst>
            <c:ext xmlns:c16="http://schemas.microsoft.com/office/drawing/2014/chart" uri="{C3380CC4-5D6E-409C-BE32-E72D297353CC}">
              <c16:uniqueId val="{00000001-7B3A-44F0-A0E6-157B625CDAEE}"/>
            </c:ext>
          </c:extLst>
        </c:ser>
        <c:ser>
          <c:idx val="5"/>
          <c:order val="2"/>
          <c:tx>
            <c:strRef>
              <c:f>'Récapitulatif évolution'!$LT$28</c:f>
              <c:strCache>
                <c:ptCount val="1"/>
                <c:pt idx="0">
                  <c:v>Séquestration : Objectif réglementaire</c:v>
                </c:pt>
              </c:strCache>
            </c:strRef>
          </c:tx>
          <c:spPr>
            <a:ln>
              <a:solidFill>
                <a:schemeClr val="accent6"/>
              </a:solidFill>
            </a:ln>
          </c:spPr>
          <c:marker>
            <c:symbol val="none"/>
          </c:marker>
          <c:cat>
            <c:numRef>
              <c:f>'Récapitulatif évolution'!$LP$13:$LP$22</c:f>
              <c:numCache>
                <c:formatCode>General</c:formatCode>
                <c:ptCount val="10"/>
                <c:pt idx="1">
                  <c:v>2022</c:v>
                </c:pt>
                <c:pt idx="2">
                  <c:v>2023</c:v>
                </c:pt>
                <c:pt idx="3">
                  <c:v>2024</c:v>
                </c:pt>
                <c:pt idx="4">
                  <c:v>2025</c:v>
                </c:pt>
                <c:pt idx="5">
                  <c:v>2026</c:v>
                </c:pt>
                <c:pt idx="6">
                  <c:v>2027</c:v>
                </c:pt>
                <c:pt idx="7">
                  <c:v>2028</c:v>
                </c:pt>
                <c:pt idx="8">
                  <c:v>2029</c:v>
                </c:pt>
                <c:pt idx="9">
                  <c:v>2030</c:v>
                </c:pt>
              </c:numCache>
            </c:numRef>
          </c:cat>
          <c:val>
            <c:numRef>
              <c:f>'Récapitulatif évolution'!$LT$30:$LT$39</c:f>
              <c:numCache>
                <c:formatCode>_-* #\ ##0_-;\-* #\ ##0_-;_-* "-"??_-;_-@_-</c:formatCode>
                <c:ptCount val="10"/>
              </c:numCache>
            </c:numRef>
          </c:val>
          <c:smooth val="0"/>
          <c:extLst>
            <c:ext xmlns:c16="http://schemas.microsoft.com/office/drawing/2014/chart" uri="{C3380CC4-5D6E-409C-BE32-E72D297353CC}">
              <c16:uniqueId val="{00000002-7B3A-44F0-A0E6-157B625CDAEE}"/>
            </c:ext>
          </c:extLst>
        </c:ser>
        <c:ser>
          <c:idx val="3"/>
          <c:order val="3"/>
          <c:tx>
            <c:strRef>
              <c:f>'Récapitulatif évolution'!$LS$28</c:f>
              <c:strCache>
                <c:ptCount val="1"/>
                <c:pt idx="0">
                  <c:v>GES : Mesure réelle</c:v>
                </c:pt>
              </c:strCache>
            </c:strRef>
          </c:tx>
          <c:marker>
            <c:symbol val="none"/>
          </c:marker>
          <c:cat>
            <c:numRef>
              <c:f>'Récapitulatif évolution'!$LP$13:$LP$22</c:f>
              <c:numCache>
                <c:formatCode>General</c:formatCode>
                <c:ptCount val="10"/>
                <c:pt idx="1">
                  <c:v>2022</c:v>
                </c:pt>
                <c:pt idx="2">
                  <c:v>2023</c:v>
                </c:pt>
                <c:pt idx="3">
                  <c:v>2024</c:v>
                </c:pt>
                <c:pt idx="4">
                  <c:v>2025</c:v>
                </c:pt>
                <c:pt idx="5">
                  <c:v>2026</c:v>
                </c:pt>
                <c:pt idx="6">
                  <c:v>2027</c:v>
                </c:pt>
                <c:pt idx="7">
                  <c:v>2028</c:v>
                </c:pt>
                <c:pt idx="8">
                  <c:v>2029</c:v>
                </c:pt>
                <c:pt idx="9">
                  <c:v>2030</c:v>
                </c:pt>
              </c:numCache>
            </c:numRef>
          </c:cat>
          <c:val>
            <c:numRef>
              <c:f>'Récapitulatif évolution'!$LS$30:$LS$39</c:f>
              <c:numCache>
                <c:formatCode>_-* #\ ##0_-;\-* #\ ##0_-;_-* "-"??_-;_-@_-</c:formatCode>
                <c:ptCount val="10"/>
                <c:pt idx="1">
                  <c:v>101292.2262295082</c:v>
                </c:pt>
                <c:pt idx="2">
                  <c:v>100857.13114754099</c:v>
                </c:pt>
                <c:pt idx="3">
                  <c:v>100748.35737704918</c:v>
                </c:pt>
                <c:pt idx="4">
                  <c:v>100639.58360655738</c:v>
                </c:pt>
                <c:pt idx="5">
                  <c:v>100530.80983606557</c:v>
                </c:pt>
                <c:pt idx="6">
                  <c:v>100422.03606557377</c:v>
                </c:pt>
                <c:pt idx="7">
                  <c:v>100313.26229508196</c:v>
                </c:pt>
                <c:pt idx="8">
                  <c:v>100204.48852459017</c:v>
                </c:pt>
                <c:pt idx="9">
                  <c:v>100073.96</c:v>
                </c:pt>
              </c:numCache>
            </c:numRef>
          </c:val>
          <c:smooth val="0"/>
          <c:extLst>
            <c:ext xmlns:c16="http://schemas.microsoft.com/office/drawing/2014/chart" uri="{C3380CC4-5D6E-409C-BE32-E72D297353CC}">
              <c16:uniqueId val="{00000003-7B3A-44F0-A0E6-157B625CDAEE}"/>
            </c:ext>
          </c:extLst>
        </c:ser>
        <c:dLbls>
          <c:showLegendKey val="0"/>
          <c:showVal val="0"/>
          <c:showCatName val="0"/>
          <c:showSerName val="0"/>
          <c:showPercent val="0"/>
          <c:showBubbleSize val="0"/>
        </c:dLbls>
        <c:smooth val="0"/>
        <c:axId val="261160431"/>
        <c:axId val="1"/>
        <c:extLst>
          <c:ext xmlns:c15="http://schemas.microsoft.com/office/drawing/2012/chart" uri="{02D57815-91ED-43cb-92C2-25804820EDAC}">
            <c15:filteredLineSeries>
              <c15:ser>
                <c:idx val="0"/>
                <c:order val="4"/>
                <c:tx>
                  <c:strRef>
                    <c:extLst>
                      <c:ext uri="{02D57815-91ED-43cb-92C2-25804820EDAC}">
                        <c15:formulaRef>
                          <c15:sqref>'Récapitulatif évolution'!$LU$28</c15:sqref>
                        </c15:formulaRef>
                      </c:ext>
                    </c:extLst>
                    <c:strCache>
                      <c:ptCount val="1"/>
                      <c:pt idx="0">
                        <c:v>Séquestration : Objectif stratégie</c:v>
                      </c:pt>
                    </c:strCache>
                  </c:strRef>
                </c:tx>
                <c:spPr>
                  <a:ln>
                    <a:solidFill>
                      <a:schemeClr val="accent6">
                        <a:lumMod val="20000"/>
                        <a:lumOff val="80000"/>
                      </a:schemeClr>
                    </a:solidFill>
                  </a:ln>
                </c:spPr>
                <c:marker>
                  <c:symbol val="none"/>
                </c:marker>
                <c:cat>
                  <c:numRef>
                    <c:extLst>
                      <c:ext uri="{02D57815-91ED-43cb-92C2-25804820EDAC}">
                        <c15:formulaRef>
                          <c15:sqref>'Récapitulatif évolution'!$LP$13:$LP$22</c15:sqref>
                        </c15:formulaRef>
                      </c:ext>
                    </c:extLst>
                    <c:numCache>
                      <c:formatCode>General</c:formatCode>
                      <c:ptCount val="10"/>
                      <c:pt idx="1">
                        <c:v>2022</c:v>
                      </c:pt>
                      <c:pt idx="2">
                        <c:v>2023</c:v>
                      </c:pt>
                      <c:pt idx="3">
                        <c:v>2024</c:v>
                      </c:pt>
                      <c:pt idx="4">
                        <c:v>2025</c:v>
                      </c:pt>
                      <c:pt idx="5">
                        <c:v>2026</c:v>
                      </c:pt>
                      <c:pt idx="6">
                        <c:v>2027</c:v>
                      </c:pt>
                      <c:pt idx="7">
                        <c:v>2028</c:v>
                      </c:pt>
                      <c:pt idx="8">
                        <c:v>2029</c:v>
                      </c:pt>
                      <c:pt idx="9">
                        <c:v>2030</c:v>
                      </c:pt>
                    </c:numCache>
                  </c:numRef>
                </c:cat>
                <c:val>
                  <c:numRef>
                    <c:extLst>
                      <c:ext uri="{02D57815-91ED-43cb-92C2-25804820EDAC}">
                        <c15:formulaRef>
                          <c15:sqref>'Récapitulatif évolution'!$LU$30:$LU$39</c15:sqref>
                        </c15:formulaRef>
                      </c:ext>
                    </c:extLst>
                    <c:numCache>
                      <c:formatCode>_-* #\ ##0_-;\-* #\ ##0_-;_-* "-"??_-;_-@_-</c:formatCode>
                      <c:ptCount val="10"/>
                    </c:numCache>
                  </c:numRef>
                </c:val>
                <c:smooth val="0"/>
                <c:extLst>
                  <c:ext xmlns:c16="http://schemas.microsoft.com/office/drawing/2014/chart" uri="{C3380CC4-5D6E-409C-BE32-E72D297353CC}">
                    <c16:uniqueId val="{00000004-7B3A-44F0-A0E6-157B625CDAEE}"/>
                  </c:ext>
                </c:extLst>
              </c15:ser>
            </c15:filteredLineSeries>
            <c15:filteredLineSeries>
              <c15:ser>
                <c:idx val="4"/>
                <c:order val="5"/>
                <c:tx>
                  <c:strRef>
                    <c:extLst xmlns:c15="http://schemas.microsoft.com/office/drawing/2012/chart">
                      <c:ext xmlns:c15="http://schemas.microsoft.com/office/drawing/2012/chart" uri="{02D57815-91ED-43cb-92C2-25804820EDAC}">
                        <c15:formulaRef>
                          <c15:sqref>'Récapitulatif évolution'!$LV$28</c15:sqref>
                        </c15:formulaRef>
                      </c:ext>
                    </c:extLst>
                    <c:strCache>
                      <c:ptCount val="1"/>
                      <c:pt idx="0">
                        <c:v>Séquestration : Mesure réelle</c:v>
                      </c:pt>
                    </c:strCache>
                  </c:strRef>
                </c:tx>
                <c:spPr>
                  <a:ln>
                    <a:solidFill>
                      <a:schemeClr val="accent6">
                        <a:lumMod val="50000"/>
                      </a:schemeClr>
                    </a:solidFill>
                  </a:ln>
                </c:spPr>
                <c:marker>
                  <c:symbol val="none"/>
                </c:marker>
                <c:cat>
                  <c:numRef>
                    <c:extLst xmlns:c15="http://schemas.microsoft.com/office/drawing/2012/chart">
                      <c:ext xmlns:c15="http://schemas.microsoft.com/office/drawing/2012/chart" uri="{02D57815-91ED-43cb-92C2-25804820EDAC}">
                        <c15:formulaRef>
                          <c15:sqref>'Récapitulatif évolution'!$LP$13:$LP$22</c15:sqref>
                        </c15:formulaRef>
                      </c:ext>
                    </c:extLst>
                    <c:numCache>
                      <c:formatCode>General</c:formatCode>
                      <c:ptCount val="10"/>
                      <c:pt idx="1">
                        <c:v>2022</c:v>
                      </c:pt>
                      <c:pt idx="2">
                        <c:v>2023</c:v>
                      </c:pt>
                      <c:pt idx="3">
                        <c:v>2024</c:v>
                      </c:pt>
                      <c:pt idx="4">
                        <c:v>2025</c:v>
                      </c:pt>
                      <c:pt idx="5">
                        <c:v>2026</c:v>
                      </c:pt>
                      <c:pt idx="6">
                        <c:v>2027</c:v>
                      </c:pt>
                      <c:pt idx="7">
                        <c:v>2028</c:v>
                      </c:pt>
                      <c:pt idx="8">
                        <c:v>2029</c:v>
                      </c:pt>
                      <c:pt idx="9">
                        <c:v>2030</c:v>
                      </c:pt>
                    </c:numCache>
                  </c:numRef>
                </c:cat>
                <c:val>
                  <c:numRef>
                    <c:extLst xmlns:c15="http://schemas.microsoft.com/office/drawing/2012/chart">
                      <c:ext xmlns:c15="http://schemas.microsoft.com/office/drawing/2012/chart" uri="{02D57815-91ED-43cb-92C2-25804820EDAC}">
                        <c15:formulaRef>
                          <c15:sqref>'Récapitulatif évolution'!$LV$30:$LV$39</c15:sqref>
                        </c15:formulaRef>
                      </c:ext>
                    </c:extLst>
                    <c:numCache>
                      <c:formatCode>_-* #\ ##0_-;\-* #\ ##0_-;_-* "-"??_-;_-@_-</c:formatCode>
                      <c:ptCount val="10"/>
                    </c:numCache>
                  </c:numRef>
                </c:val>
                <c:smooth val="0"/>
                <c:extLst xmlns:c15="http://schemas.microsoft.com/office/drawing/2012/chart">
                  <c:ext xmlns:c16="http://schemas.microsoft.com/office/drawing/2014/chart" uri="{C3380CC4-5D6E-409C-BE32-E72D297353CC}">
                    <c16:uniqueId val="{00000005-7B3A-44F0-A0E6-157B625CDAEE}"/>
                  </c:ext>
                </c:extLst>
              </c15:ser>
            </c15:filteredLineSeries>
          </c:ext>
        </c:extLst>
      </c:lineChart>
      <c:catAx>
        <c:axId val="261160431"/>
        <c:scaling>
          <c:orientation val="minMax"/>
        </c:scaling>
        <c:delete val="0"/>
        <c:axPos val="b"/>
        <c:numFmt formatCode="General" sourceLinked="1"/>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numFmt formatCode="_-* #\ ##0_-;\-* #\ ##0_-;_-* &quot;-&quot;??_-;_-@_-" sourceLinked="1"/>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fr-FR"/>
          </a:p>
        </c:txPr>
        <c:crossAx val="261160431"/>
        <c:crosses val="autoZero"/>
        <c:crossBetween val="between"/>
      </c:valAx>
    </c:plotArea>
    <c:legend>
      <c:legendPos val="r"/>
      <c:legendEntry>
        <c:idx val="2"/>
        <c:delete val="1"/>
      </c:legendEntry>
      <c:layout>
        <c:manualLayout>
          <c:xMode val="edge"/>
          <c:yMode val="edge"/>
          <c:x val="0.65147874015748031"/>
          <c:y val="0.199185466274547"/>
          <c:w val="0.33806809148856393"/>
          <c:h val="0.7478024855326818"/>
        </c:manualLayout>
      </c:layout>
      <c:overlay val="0"/>
      <c:txPr>
        <a:bodyPr/>
        <a:lstStyle/>
        <a:p>
          <a:pPr>
            <a:defRPr sz="1285" b="0" i="0" u="none" strike="noStrike" baseline="0">
              <a:solidFill>
                <a:srgbClr val="000000"/>
              </a:solidFill>
              <a:latin typeface="Calibri"/>
              <a:ea typeface="Calibri"/>
              <a:cs typeface="Calibri"/>
            </a:defRPr>
          </a:pPr>
          <a:endParaRPr lang="fr-FR"/>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800" b="1" i="0" u="none" strike="noStrike" kern="1200" spc="0" baseline="0">
                <a:solidFill>
                  <a:srgbClr val="000000"/>
                </a:solidFill>
                <a:latin typeface="Calibri"/>
                <a:ea typeface="Calibri"/>
                <a:cs typeface="Calibri"/>
              </a:defRPr>
            </a:pPr>
            <a:r>
              <a:rPr lang="en-US" sz="1800" b="1" i="0" u="none" strike="noStrike" kern="1200" baseline="0">
                <a:solidFill>
                  <a:srgbClr val="000000"/>
                </a:solidFill>
                <a:latin typeface="Calibri"/>
                <a:ea typeface="Calibri"/>
                <a:cs typeface="Calibri"/>
              </a:rPr>
              <a:t>Zoom sectoriel objectifs atteints par rapport aux objectifs stratégiques en TeqCO2 </a:t>
            </a:r>
          </a:p>
        </c:rich>
      </c:tx>
      <c:overlay val="0"/>
      <c:spPr>
        <a:noFill/>
        <a:ln>
          <a:noFill/>
        </a:ln>
        <a:effectLst/>
      </c:spPr>
      <c:txPr>
        <a:bodyPr rot="0" spcFirstLastPara="1" vertOverflow="ellipsis" vert="horz" wrap="square" anchor="ctr" anchorCtr="1"/>
        <a:lstStyle/>
        <a:p>
          <a:pPr>
            <a:defRPr lang="en-US" sz="1800" b="1" i="0" u="none" strike="noStrike" kern="1200" spc="0" baseline="0">
              <a:solidFill>
                <a:srgbClr val="000000"/>
              </a:solidFill>
              <a:latin typeface="Calibri"/>
              <a:ea typeface="Calibri"/>
              <a:cs typeface="Calibri"/>
            </a:defRPr>
          </a:pPr>
          <a:endParaRPr lang="fr-FR"/>
        </a:p>
      </c:txPr>
    </c:title>
    <c:autoTitleDeleted val="0"/>
    <c:plotArea>
      <c:layout/>
      <c:barChart>
        <c:barDir val="col"/>
        <c:grouping val="clustered"/>
        <c:varyColors val="0"/>
        <c:ser>
          <c:idx val="0"/>
          <c:order val="0"/>
          <c:tx>
            <c:strRef>
              <c:f>'Récapitulatif évolution'!$F$36</c:f>
              <c:strCache>
                <c:ptCount val="1"/>
                <c:pt idx="0">
                  <c:v>Objectif stratégie (année N)</c:v>
                </c:pt>
              </c:strCache>
            </c:strRef>
          </c:tx>
          <c:spPr>
            <a:solidFill>
              <a:schemeClr val="accent1"/>
            </a:solidFill>
            <a:ln>
              <a:noFill/>
            </a:ln>
            <a:effectLst/>
          </c:spPr>
          <c:invertIfNegative val="0"/>
          <c:cat>
            <c:strRef>
              <c:f>'Récapitulatif évolution'!$G$19:$K$19</c:f>
              <c:strCache>
                <c:ptCount val="5"/>
                <c:pt idx="0">
                  <c:v>Résidentiel</c:v>
                </c:pt>
                <c:pt idx="1">
                  <c:v>Tertiaire</c:v>
                </c:pt>
                <c:pt idx="2">
                  <c:v>Transports</c:v>
                </c:pt>
                <c:pt idx="3">
                  <c:v>Industrie</c:v>
                </c:pt>
                <c:pt idx="4">
                  <c:v>Agriculture</c:v>
                </c:pt>
              </c:strCache>
            </c:strRef>
          </c:cat>
          <c:val>
            <c:numRef>
              <c:f>'Récapitulatif évolution'!$G$36:$K$36</c:f>
              <c:numCache>
                <c:formatCode>#,##0</c:formatCode>
                <c:ptCount val="5"/>
                <c:pt idx="0">
                  <c:v>12740.533333333333</c:v>
                </c:pt>
                <c:pt idx="1">
                  <c:v>6109.3333333333339</c:v>
                </c:pt>
                <c:pt idx="2">
                  <c:v>31981.266666666666</c:v>
                </c:pt>
                <c:pt idx="3">
                  <c:v>11884.114285714286</c:v>
                </c:pt>
                <c:pt idx="4">
                  <c:v>2139.1999999999998</c:v>
                </c:pt>
              </c:numCache>
            </c:numRef>
          </c:val>
          <c:extLst>
            <c:ext xmlns:c16="http://schemas.microsoft.com/office/drawing/2014/chart" uri="{C3380CC4-5D6E-409C-BE32-E72D297353CC}">
              <c16:uniqueId val="{00000000-BB98-427C-B627-C1629A7E2DE1}"/>
            </c:ext>
          </c:extLst>
        </c:ser>
        <c:dLbls>
          <c:showLegendKey val="0"/>
          <c:showVal val="0"/>
          <c:showCatName val="0"/>
          <c:showSerName val="0"/>
          <c:showPercent val="0"/>
          <c:showBubbleSize val="0"/>
        </c:dLbls>
        <c:gapWidth val="150"/>
        <c:axId val="378323935"/>
        <c:axId val="378323103"/>
      </c:barChart>
      <c:lineChart>
        <c:grouping val="standard"/>
        <c:varyColors val="0"/>
        <c:ser>
          <c:idx val="1"/>
          <c:order val="1"/>
          <c:tx>
            <c:strRef>
              <c:f>'Récapitulatif évolution'!$F$38</c:f>
              <c:strCache>
                <c:ptCount val="1"/>
                <c:pt idx="0">
                  <c:v>Objectif atteint (année N)</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'Récapitulatif évolution'!$G$35:$K$35</c:f>
              <c:strCache>
                <c:ptCount val="5"/>
                <c:pt idx="0">
                  <c:v>Résidentiel</c:v>
                </c:pt>
                <c:pt idx="1">
                  <c:v>Tertiaire</c:v>
                </c:pt>
                <c:pt idx="2">
                  <c:v>Transports</c:v>
                </c:pt>
                <c:pt idx="3">
                  <c:v>Industrie</c:v>
                </c:pt>
                <c:pt idx="4">
                  <c:v>Agriculture</c:v>
                </c:pt>
              </c:strCache>
            </c:strRef>
          </c:cat>
          <c:val>
            <c:numRef>
              <c:f>'Récapitulatif évolution'!$G$38:$K$38</c:f>
              <c:numCache>
                <c:formatCode>#,##0</c:formatCode>
                <c:ptCount val="5"/>
                <c:pt idx="0">
                  <c:v>18815</c:v>
                </c:pt>
                <c:pt idx="1">
                  <c:v>8900</c:v>
                </c:pt>
                <c:pt idx="2">
                  <c:v>53914</c:v>
                </c:pt>
                <c:pt idx="3">
                  <c:v>15120</c:v>
                </c:pt>
                <c:pt idx="4">
                  <c:v>2875</c:v>
                </c:pt>
              </c:numCache>
            </c:numRef>
          </c:val>
          <c:smooth val="0"/>
          <c:extLst>
            <c:ext xmlns:c16="http://schemas.microsoft.com/office/drawing/2014/chart" uri="{C3380CC4-5D6E-409C-BE32-E72D297353CC}">
              <c16:uniqueId val="{00000001-BB98-427C-B627-C1629A7E2DE1}"/>
            </c:ext>
          </c:extLst>
        </c:ser>
        <c:dLbls>
          <c:showLegendKey val="0"/>
          <c:showVal val="0"/>
          <c:showCatName val="0"/>
          <c:showSerName val="0"/>
          <c:showPercent val="0"/>
          <c:showBubbleSize val="0"/>
        </c:dLbls>
        <c:marker val="1"/>
        <c:smooth val="0"/>
        <c:axId val="378323935"/>
        <c:axId val="378323103"/>
      </c:lineChart>
      <c:catAx>
        <c:axId val="3783239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fr-FR"/>
          </a:p>
        </c:txPr>
        <c:crossAx val="378323103"/>
        <c:crosses val="autoZero"/>
        <c:auto val="1"/>
        <c:lblAlgn val="ctr"/>
        <c:lblOffset val="100"/>
        <c:noMultiLvlLbl val="0"/>
      </c:catAx>
      <c:valAx>
        <c:axId val="37832310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783239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fr-FR"/>
              <a:t>Emissions de</a:t>
            </a:r>
            <a:r>
              <a:rPr lang="fr-FR" baseline="0"/>
              <a:t> PM10  </a:t>
            </a:r>
            <a:r>
              <a:rPr lang="fr-FR"/>
              <a:t>(tonnes/an)</a:t>
            </a:r>
          </a:p>
        </c:rich>
      </c:tx>
      <c:overlay val="0"/>
    </c:title>
    <c:autoTitleDeleted val="0"/>
    <c:plotArea>
      <c:layout>
        <c:manualLayout>
          <c:layoutTarget val="inner"/>
          <c:xMode val="edge"/>
          <c:yMode val="edge"/>
          <c:x val="5.1222272215973003E-2"/>
          <c:y val="0.11021705720519875"/>
          <c:w val="0.58459587551556058"/>
          <c:h val="0.80258590266578123"/>
        </c:manualLayout>
      </c:layout>
      <c:lineChart>
        <c:grouping val="standard"/>
        <c:varyColors val="0"/>
        <c:ser>
          <c:idx val="3"/>
          <c:order val="0"/>
          <c:tx>
            <c:strRef>
              <c:f>'Récapitulatif évolution'!$LS$44</c:f>
              <c:strCache>
                <c:ptCount val="1"/>
                <c:pt idx="0">
                  <c:v>PM 10 : objectif  réglementaire</c:v>
                </c:pt>
              </c:strCache>
            </c:strRef>
          </c:tx>
          <c:spPr>
            <a:ln>
              <a:solidFill>
                <a:srgbClr val="039A9F"/>
              </a:solidFill>
            </a:ln>
          </c:spPr>
          <c:marker>
            <c:symbol val="none"/>
          </c:marker>
          <c:cat>
            <c:numRef>
              <c:f>'Récapitulatif évolution'!$LP$45:$LP$54</c:f>
              <c:numCache>
                <c:formatCode>General</c:formatCode>
                <c:ptCount val="10"/>
                <c:pt idx="0">
                  <c:v>2015</c:v>
                </c:pt>
                <c:pt idx="1">
                  <c:v>2022</c:v>
                </c:pt>
                <c:pt idx="2">
                  <c:v>2023</c:v>
                </c:pt>
                <c:pt idx="3">
                  <c:v>2024</c:v>
                </c:pt>
                <c:pt idx="4">
                  <c:v>2025</c:v>
                </c:pt>
                <c:pt idx="5">
                  <c:v>2026</c:v>
                </c:pt>
                <c:pt idx="6">
                  <c:v>2027</c:v>
                </c:pt>
                <c:pt idx="7">
                  <c:v>2028</c:v>
                </c:pt>
                <c:pt idx="8">
                  <c:v>2029</c:v>
                </c:pt>
                <c:pt idx="9">
                  <c:v>2030</c:v>
                </c:pt>
              </c:numCache>
            </c:numRef>
          </c:cat>
          <c:val>
            <c:numRef>
              <c:f>'Récapitulatif évolution'!$LS$45:$LS$56</c:f>
              <c:numCache>
                <c:formatCode>_-* #\ ##0_-;\-* #\ ##0_-;_-* "-"??_-;_-@_-</c:formatCode>
                <c:ptCount val="12"/>
                <c:pt idx="0">
                  <c:v>77135</c:v>
                </c:pt>
                <c:pt idx="1">
                  <c:v>60936.649999999994</c:v>
                </c:pt>
                <c:pt idx="2">
                  <c:v>58622.599999999991</c:v>
                </c:pt>
                <c:pt idx="3">
                  <c:v>56308.549999999996</c:v>
                </c:pt>
                <c:pt idx="4">
                  <c:v>54380.174999999996</c:v>
                </c:pt>
                <c:pt idx="5">
                  <c:v>52451.799999999996</c:v>
                </c:pt>
                <c:pt idx="6">
                  <c:v>50523.424999999996</c:v>
                </c:pt>
                <c:pt idx="7">
                  <c:v>48595.049999999996</c:v>
                </c:pt>
                <c:pt idx="8">
                  <c:v>46666.674999999996</c:v>
                </c:pt>
                <c:pt idx="9">
                  <c:v>44738.299999999996</c:v>
                </c:pt>
                <c:pt idx="11">
                  <c:v>33168.050000000003</c:v>
                </c:pt>
              </c:numCache>
            </c:numRef>
          </c:val>
          <c:smooth val="0"/>
          <c:extLst>
            <c:ext xmlns:c16="http://schemas.microsoft.com/office/drawing/2014/chart" uri="{C3380CC4-5D6E-409C-BE32-E72D297353CC}">
              <c16:uniqueId val="{00000003-AA86-403A-834F-D58EB7CEC430}"/>
            </c:ext>
          </c:extLst>
        </c:ser>
        <c:ser>
          <c:idx val="0"/>
          <c:order val="1"/>
          <c:tx>
            <c:strRef>
              <c:f>'Récapitulatif évolution'!$LT$44</c:f>
              <c:strCache>
                <c:ptCount val="1"/>
                <c:pt idx="0">
                  <c:v>PM 10 : mesures réelles</c:v>
                </c:pt>
              </c:strCache>
            </c:strRef>
          </c:tx>
          <c:spPr>
            <a:ln>
              <a:solidFill>
                <a:srgbClr val="FDC062"/>
              </a:solidFill>
            </a:ln>
          </c:spPr>
          <c:marker>
            <c:symbol val="none"/>
          </c:marker>
          <c:cat>
            <c:numRef>
              <c:f>'Récapitulatif évolution'!$LP$45:$LP$54</c:f>
              <c:numCache>
                <c:formatCode>General</c:formatCode>
                <c:ptCount val="10"/>
                <c:pt idx="0">
                  <c:v>2015</c:v>
                </c:pt>
                <c:pt idx="1">
                  <c:v>2022</c:v>
                </c:pt>
                <c:pt idx="2">
                  <c:v>2023</c:v>
                </c:pt>
                <c:pt idx="3">
                  <c:v>2024</c:v>
                </c:pt>
                <c:pt idx="4">
                  <c:v>2025</c:v>
                </c:pt>
                <c:pt idx="5">
                  <c:v>2026</c:v>
                </c:pt>
                <c:pt idx="6">
                  <c:v>2027</c:v>
                </c:pt>
                <c:pt idx="7">
                  <c:v>2028</c:v>
                </c:pt>
                <c:pt idx="8">
                  <c:v>2029</c:v>
                </c:pt>
                <c:pt idx="9">
                  <c:v>2030</c:v>
                </c:pt>
              </c:numCache>
            </c:numRef>
          </c:cat>
          <c:val>
            <c:numRef>
              <c:f>'Récapitulatif évolution'!$LT$45:$LT$54</c:f>
              <c:numCache>
                <c:formatCode>_-* #\ ##0_-;\-* #\ ##0_-;_-* "-"??_-;_-@_-</c:formatCode>
                <c:ptCount val="10"/>
                <c:pt idx="0">
                  <c:v>77135</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E14D-4472-A069-E201EE24D7A2}"/>
            </c:ext>
          </c:extLst>
        </c:ser>
        <c:dLbls>
          <c:showLegendKey val="0"/>
          <c:showVal val="0"/>
          <c:showCatName val="0"/>
          <c:showSerName val="0"/>
          <c:showPercent val="0"/>
          <c:showBubbleSize val="0"/>
        </c:dLbls>
        <c:smooth val="0"/>
        <c:axId val="261160431"/>
        <c:axId val="1"/>
      </c:lineChart>
      <c:catAx>
        <c:axId val="261160431"/>
        <c:scaling>
          <c:orientation val="minMax"/>
        </c:scaling>
        <c:delete val="0"/>
        <c:axPos val="b"/>
        <c:numFmt formatCode="General" sourceLinked="1"/>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numFmt formatCode="_-* #\ ##0_-;\-* #\ ##0_-;_-* &quot;-&quot;??_-;_-@_-" sourceLinked="1"/>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fr-FR"/>
          </a:p>
        </c:txPr>
        <c:crossAx val="261160431"/>
        <c:crosses val="autoZero"/>
        <c:crossBetween val="between"/>
      </c:valAx>
    </c:plotArea>
    <c:legend>
      <c:legendPos val="r"/>
      <c:layout>
        <c:manualLayout>
          <c:xMode val="edge"/>
          <c:yMode val="edge"/>
          <c:x val="0.72757468591860253"/>
          <c:y val="0.27176615019896705"/>
          <c:w val="0.21254165043027348"/>
          <c:h val="0.11796267932261892"/>
        </c:manualLayout>
      </c:layout>
      <c:overlay val="0"/>
      <c:txPr>
        <a:bodyPr/>
        <a:lstStyle/>
        <a:p>
          <a:pPr>
            <a:defRPr sz="1285" b="0" i="0" u="none" strike="noStrike" baseline="0">
              <a:solidFill>
                <a:srgbClr val="000000"/>
              </a:solidFill>
              <a:latin typeface="Calibri"/>
              <a:ea typeface="Calibri"/>
              <a:cs typeface="Calibri"/>
            </a:defRPr>
          </a:pPr>
          <a:endParaRPr lang="fr-FR"/>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800" b="1" i="0" u="none" strike="noStrike" kern="1200" spc="0" baseline="0">
                <a:solidFill>
                  <a:srgbClr val="000000"/>
                </a:solidFill>
                <a:latin typeface="Calibri"/>
                <a:ea typeface="Calibri"/>
                <a:cs typeface="Calibri"/>
              </a:defRPr>
            </a:pPr>
            <a:r>
              <a:rPr lang="en-US" sz="1800" b="1" i="0" u="none" strike="noStrike" kern="1200" baseline="0">
                <a:solidFill>
                  <a:srgbClr val="000000"/>
                </a:solidFill>
                <a:latin typeface="Calibri"/>
                <a:ea typeface="Calibri"/>
                <a:cs typeface="Calibri"/>
              </a:rPr>
              <a:t>Emissions de polluants atmosphériques sur l'année considérée</a:t>
            </a:r>
          </a:p>
        </c:rich>
      </c:tx>
      <c:overlay val="0"/>
      <c:spPr>
        <a:noFill/>
        <a:ln>
          <a:noFill/>
        </a:ln>
        <a:effectLst/>
      </c:spPr>
      <c:txPr>
        <a:bodyPr rot="0" spcFirstLastPara="1" vertOverflow="ellipsis" vert="horz" wrap="square" anchor="ctr" anchorCtr="1"/>
        <a:lstStyle/>
        <a:p>
          <a:pPr>
            <a:defRPr lang="en-US" sz="1800" b="1" i="0" u="none" strike="noStrike" kern="1200" spc="0" baseline="0">
              <a:solidFill>
                <a:srgbClr val="000000"/>
              </a:solidFill>
              <a:latin typeface="Calibri"/>
              <a:ea typeface="Calibri"/>
              <a:cs typeface="Calibri"/>
            </a:defRPr>
          </a:pPr>
          <a:endParaRPr lang="fr-FR"/>
        </a:p>
      </c:txPr>
    </c:title>
    <c:autoTitleDeleted val="0"/>
    <c:plotArea>
      <c:layout/>
      <c:barChart>
        <c:barDir val="col"/>
        <c:grouping val="clustered"/>
        <c:varyColors val="0"/>
        <c:ser>
          <c:idx val="0"/>
          <c:order val="0"/>
          <c:tx>
            <c:strRef>
              <c:f>'Récapitulatif évolution'!$F$52</c:f>
              <c:strCache>
                <c:ptCount val="1"/>
                <c:pt idx="0">
                  <c:v>Objectif stratégie (année N)</c:v>
                </c:pt>
              </c:strCache>
            </c:strRef>
          </c:tx>
          <c:spPr>
            <a:solidFill>
              <a:schemeClr val="accent1"/>
            </a:solidFill>
            <a:ln>
              <a:noFill/>
            </a:ln>
            <a:effectLst/>
          </c:spPr>
          <c:invertIfNegative val="0"/>
          <c:cat>
            <c:strRef>
              <c:f>'Récapitulatif évolution'!$G$51:$L$51</c:f>
              <c:strCache>
                <c:ptCount val="6"/>
                <c:pt idx="0">
                  <c:v>PM10</c:v>
                </c:pt>
                <c:pt idx="1">
                  <c:v>PM2,5</c:v>
                </c:pt>
                <c:pt idx="2">
                  <c:v>NOx</c:v>
                </c:pt>
                <c:pt idx="3">
                  <c:v>SO2</c:v>
                </c:pt>
                <c:pt idx="4">
                  <c:v>COVNM</c:v>
                </c:pt>
                <c:pt idx="5">
                  <c:v>NH3</c:v>
                </c:pt>
              </c:strCache>
            </c:strRef>
          </c:cat>
          <c:val>
            <c:numRef>
              <c:f>'Récapitulatif évolution'!$G$52:$L$52</c:f>
              <c:numCache>
                <c:formatCode>#,##0</c:formatCode>
                <c:ptCount val="6"/>
                <c:pt idx="0">
                  <c:v>48595.049999999996</c:v>
                </c:pt>
                <c:pt idx="1">
                  <c:v>37151.730000000003</c:v>
                </c:pt>
                <c:pt idx="2">
                  <c:v>121356.73333333334</c:v>
                </c:pt>
                <c:pt idx="3">
                  <c:v>946.56333333333339</c:v>
                </c:pt>
                <c:pt idx="4">
                  <c:v>410585.7</c:v>
                </c:pt>
                <c:pt idx="5">
                  <c:v>22304.799999999999</c:v>
                </c:pt>
              </c:numCache>
            </c:numRef>
          </c:val>
          <c:extLst>
            <c:ext xmlns:c16="http://schemas.microsoft.com/office/drawing/2014/chart" uri="{C3380CC4-5D6E-409C-BE32-E72D297353CC}">
              <c16:uniqueId val="{00000000-026B-45B5-ADB9-F2B48342028C}"/>
            </c:ext>
          </c:extLst>
        </c:ser>
        <c:dLbls>
          <c:showLegendKey val="0"/>
          <c:showVal val="0"/>
          <c:showCatName val="0"/>
          <c:showSerName val="0"/>
          <c:showPercent val="0"/>
          <c:showBubbleSize val="0"/>
        </c:dLbls>
        <c:gapWidth val="150"/>
        <c:axId val="378323935"/>
        <c:axId val="378323103"/>
      </c:barChart>
      <c:lineChart>
        <c:grouping val="standard"/>
        <c:varyColors val="0"/>
        <c:ser>
          <c:idx val="1"/>
          <c:order val="1"/>
          <c:tx>
            <c:strRef>
              <c:f>'Récapitulatif évolution'!$F$54</c:f>
              <c:strCache>
                <c:ptCount val="1"/>
                <c:pt idx="0">
                  <c:v>Objectif atteint (année N)</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'Récapitulatif évolution'!$G$51:$L$51</c:f>
              <c:strCache>
                <c:ptCount val="6"/>
                <c:pt idx="0">
                  <c:v>PM10</c:v>
                </c:pt>
                <c:pt idx="1">
                  <c:v>PM2,5</c:v>
                </c:pt>
                <c:pt idx="2">
                  <c:v>NOx</c:v>
                </c:pt>
                <c:pt idx="3">
                  <c:v>SO2</c:v>
                </c:pt>
                <c:pt idx="4">
                  <c:v>COVNM</c:v>
                </c:pt>
                <c:pt idx="5">
                  <c:v>NH3</c:v>
                </c:pt>
              </c:strCache>
            </c:strRef>
          </c:cat>
          <c:val>
            <c:numRef>
              <c:f>'Récapitulatif évolution'!$G$54:$L$54</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026B-45B5-ADB9-F2B48342028C}"/>
            </c:ext>
          </c:extLst>
        </c:ser>
        <c:dLbls>
          <c:showLegendKey val="0"/>
          <c:showVal val="0"/>
          <c:showCatName val="0"/>
          <c:showSerName val="0"/>
          <c:showPercent val="0"/>
          <c:showBubbleSize val="0"/>
        </c:dLbls>
        <c:marker val="1"/>
        <c:smooth val="0"/>
        <c:axId val="378323935"/>
        <c:axId val="378323103"/>
      </c:lineChart>
      <c:catAx>
        <c:axId val="3783239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fr-FR"/>
          </a:p>
        </c:txPr>
        <c:crossAx val="378323103"/>
        <c:crosses val="autoZero"/>
        <c:auto val="1"/>
        <c:lblAlgn val="ctr"/>
        <c:lblOffset val="100"/>
        <c:noMultiLvlLbl val="0"/>
      </c:catAx>
      <c:valAx>
        <c:axId val="37832310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783239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fr-FR"/>
              <a:t>Emissions de</a:t>
            </a:r>
            <a:r>
              <a:rPr lang="fr-FR" baseline="0"/>
              <a:t> PM2,5  </a:t>
            </a:r>
            <a:r>
              <a:rPr lang="fr-FR"/>
              <a:t>(tonnes/an)</a:t>
            </a:r>
          </a:p>
        </c:rich>
      </c:tx>
      <c:overlay val="0"/>
    </c:title>
    <c:autoTitleDeleted val="0"/>
    <c:plotArea>
      <c:layout>
        <c:manualLayout>
          <c:layoutTarget val="inner"/>
          <c:xMode val="edge"/>
          <c:yMode val="edge"/>
          <c:x val="5.1222272215973003E-2"/>
          <c:y val="0.11021705720519875"/>
          <c:w val="0.58459587551556058"/>
          <c:h val="0.80258590266578123"/>
        </c:manualLayout>
      </c:layout>
      <c:lineChart>
        <c:grouping val="standard"/>
        <c:varyColors val="0"/>
        <c:ser>
          <c:idx val="1"/>
          <c:order val="0"/>
          <c:tx>
            <c:strRef>
              <c:f>'Récapitulatif évolution'!$LU$44</c:f>
              <c:strCache>
                <c:ptCount val="1"/>
                <c:pt idx="0">
                  <c:v>PM 2,5 : objectif  réglementaire</c:v>
                </c:pt>
              </c:strCache>
            </c:strRef>
          </c:tx>
          <c:spPr>
            <a:ln>
              <a:solidFill>
                <a:srgbClr val="039A9F"/>
              </a:solidFill>
            </a:ln>
          </c:spPr>
          <c:marker>
            <c:symbol val="none"/>
          </c:marker>
          <c:cat>
            <c:numRef>
              <c:f>'Récapitulatif évolution'!$LP$45:$LP$54</c:f>
              <c:numCache>
                <c:formatCode>General</c:formatCode>
                <c:ptCount val="10"/>
                <c:pt idx="0">
                  <c:v>2015</c:v>
                </c:pt>
                <c:pt idx="1">
                  <c:v>2022</c:v>
                </c:pt>
                <c:pt idx="2">
                  <c:v>2023</c:v>
                </c:pt>
                <c:pt idx="3">
                  <c:v>2024</c:v>
                </c:pt>
                <c:pt idx="4">
                  <c:v>2025</c:v>
                </c:pt>
                <c:pt idx="5">
                  <c:v>2026</c:v>
                </c:pt>
                <c:pt idx="6">
                  <c:v>2027</c:v>
                </c:pt>
                <c:pt idx="7">
                  <c:v>2028</c:v>
                </c:pt>
                <c:pt idx="8">
                  <c:v>2029</c:v>
                </c:pt>
                <c:pt idx="9">
                  <c:v>2030</c:v>
                </c:pt>
              </c:numCache>
            </c:numRef>
          </c:cat>
          <c:val>
            <c:numRef>
              <c:f>'Récapitulatif évolution'!$LU$45:$LU$54</c:f>
              <c:numCache>
                <c:formatCode>_-* #\ ##0_-;\-* #\ ##0_-;_-* "-"??_-;_-@_-</c:formatCode>
                <c:ptCount val="10"/>
                <c:pt idx="0">
                  <c:v>58971</c:v>
                </c:pt>
                <c:pt idx="1">
                  <c:v>46587.09</c:v>
                </c:pt>
                <c:pt idx="2">
                  <c:v>44817.96</c:v>
                </c:pt>
                <c:pt idx="3">
                  <c:v>43048.83</c:v>
                </c:pt>
                <c:pt idx="4">
                  <c:v>41574.555</c:v>
                </c:pt>
                <c:pt idx="5">
                  <c:v>40100.28</c:v>
                </c:pt>
                <c:pt idx="6">
                  <c:v>38626.005000000005</c:v>
                </c:pt>
                <c:pt idx="7">
                  <c:v>37151.730000000003</c:v>
                </c:pt>
                <c:pt idx="8">
                  <c:v>35677.455000000002</c:v>
                </c:pt>
                <c:pt idx="9">
                  <c:v>34203.18</c:v>
                </c:pt>
              </c:numCache>
            </c:numRef>
          </c:val>
          <c:smooth val="0"/>
          <c:extLst>
            <c:ext xmlns:c16="http://schemas.microsoft.com/office/drawing/2014/chart" uri="{C3380CC4-5D6E-409C-BE32-E72D297353CC}">
              <c16:uniqueId val="{00000002-8702-443A-93A4-683E4F4706F8}"/>
            </c:ext>
          </c:extLst>
        </c:ser>
        <c:ser>
          <c:idx val="0"/>
          <c:order val="1"/>
          <c:tx>
            <c:strRef>
              <c:f>'Récapitulatif évolution'!$LV$44</c:f>
              <c:strCache>
                <c:ptCount val="1"/>
                <c:pt idx="0">
                  <c:v>PM 2,5 : mesures réelles</c:v>
                </c:pt>
              </c:strCache>
            </c:strRef>
          </c:tx>
          <c:spPr>
            <a:ln>
              <a:solidFill>
                <a:srgbClr val="FDC062"/>
              </a:solidFill>
            </a:ln>
          </c:spPr>
          <c:marker>
            <c:symbol val="none"/>
          </c:marker>
          <c:cat>
            <c:numRef>
              <c:f>'Récapitulatif évolution'!$LP$45:$LP$54</c:f>
              <c:numCache>
                <c:formatCode>General</c:formatCode>
                <c:ptCount val="10"/>
                <c:pt idx="0">
                  <c:v>2015</c:v>
                </c:pt>
                <c:pt idx="1">
                  <c:v>2022</c:v>
                </c:pt>
                <c:pt idx="2">
                  <c:v>2023</c:v>
                </c:pt>
                <c:pt idx="3">
                  <c:v>2024</c:v>
                </c:pt>
                <c:pt idx="4">
                  <c:v>2025</c:v>
                </c:pt>
                <c:pt idx="5">
                  <c:v>2026</c:v>
                </c:pt>
                <c:pt idx="6">
                  <c:v>2027</c:v>
                </c:pt>
                <c:pt idx="7">
                  <c:v>2028</c:v>
                </c:pt>
                <c:pt idx="8">
                  <c:v>2029</c:v>
                </c:pt>
                <c:pt idx="9">
                  <c:v>2030</c:v>
                </c:pt>
              </c:numCache>
            </c:numRef>
          </c:cat>
          <c:val>
            <c:numRef>
              <c:f>'Récapitulatif évolution'!$LV$45:$LV$54</c:f>
              <c:numCache>
                <c:formatCode>_-* #\ ##0_-;\-* #\ ##0_-;_-* "-"??_-;_-@_-</c:formatCode>
                <c:ptCount val="10"/>
                <c:pt idx="0">
                  <c:v>58971</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8702-443A-93A4-683E4F4706F8}"/>
            </c:ext>
          </c:extLst>
        </c:ser>
        <c:dLbls>
          <c:showLegendKey val="0"/>
          <c:showVal val="0"/>
          <c:showCatName val="0"/>
          <c:showSerName val="0"/>
          <c:showPercent val="0"/>
          <c:showBubbleSize val="0"/>
        </c:dLbls>
        <c:smooth val="0"/>
        <c:axId val="261160431"/>
        <c:axId val="1"/>
      </c:lineChart>
      <c:catAx>
        <c:axId val="261160431"/>
        <c:scaling>
          <c:orientation val="minMax"/>
        </c:scaling>
        <c:delete val="0"/>
        <c:axPos val="b"/>
        <c:numFmt formatCode="General" sourceLinked="1"/>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numFmt formatCode="_-* #\ ##0_-;\-* #\ ##0_-;_-* &quot;-&quot;??_-;_-@_-" sourceLinked="1"/>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fr-FR"/>
          </a:p>
        </c:txPr>
        <c:crossAx val="261160431"/>
        <c:crosses val="autoZero"/>
        <c:crossBetween val="between"/>
      </c:valAx>
    </c:plotArea>
    <c:legend>
      <c:legendPos val="r"/>
      <c:layout>
        <c:manualLayout>
          <c:xMode val="edge"/>
          <c:yMode val="edge"/>
          <c:x val="0.65147874015748031"/>
          <c:y val="0.199185466274547"/>
          <c:w val="0.21608606775963898"/>
          <c:h val="0.11796267932261892"/>
        </c:manualLayout>
      </c:layout>
      <c:overlay val="0"/>
      <c:txPr>
        <a:bodyPr/>
        <a:lstStyle/>
        <a:p>
          <a:pPr>
            <a:defRPr sz="1285" b="0" i="0" u="none" strike="noStrike" baseline="0">
              <a:solidFill>
                <a:srgbClr val="000000"/>
              </a:solidFill>
              <a:latin typeface="Calibri"/>
              <a:ea typeface="Calibri"/>
              <a:cs typeface="Calibri"/>
            </a:defRPr>
          </a:pPr>
          <a:endParaRPr lang="fr-FR"/>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fr-FR"/>
              <a:t>Emissions de</a:t>
            </a:r>
            <a:r>
              <a:rPr lang="fr-FR" baseline="0"/>
              <a:t> NOx  </a:t>
            </a:r>
            <a:r>
              <a:rPr lang="fr-FR"/>
              <a:t>(tonnes/an)</a:t>
            </a:r>
          </a:p>
        </c:rich>
      </c:tx>
      <c:overlay val="0"/>
    </c:title>
    <c:autoTitleDeleted val="0"/>
    <c:plotArea>
      <c:layout>
        <c:manualLayout>
          <c:layoutTarget val="inner"/>
          <c:xMode val="edge"/>
          <c:yMode val="edge"/>
          <c:x val="5.1222272215973003E-2"/>
          <c:y val="0.11021705720519875"/>
          <c:w val="0.58459587551556058"/>
          <c:h val="0.80258590266578123"/>
        </c:manualLayout>
      </c:layout>
      <c:lineChart>
        <c:grouping val="standard"/>
        <c:varyColors val="0"/>
        <c:ser>
          <c:idx val="0"/>
          <c:order val="0"/>
          <c:tx>
            <c:strRef>
              <c:f>'Récapitulatif évolution'!$LR$44</c:f>
              <c:strCache>
                <c:ptCount val="1"/>
                <c:pt idx="0">
                  <c:v>NOX : mesures réelles </c:v>
                </c:pt>
              </c:strCache>
            </c:strRef>
          </c:tx>
          <c:spPr>
            <a:ln>
              <a:solidFill>
                <a:srgbClr val="FDC062"/>
              </a:solidFill>
            </a:ln>
          </c:spPr>
          <c:marker>
            <c:symbol val="none"/>
          </c:marker>
          <c:cat>
            <c:numRef>
              <c:f>'Récapitulatif évolution'!$LP$45:$LP$54</c:f>
              <c:numCache>
                <c:formatCode>General</c:formatCode>
                <c:ptCount val="10"/>
                <c:pt idx="0">
                  <c:v>2015</c:v>
                </c:pt>
                <c:pt idx="1">
                  <c:v>2022</c:v>
                </c:pt>
                <c:pt idx="2">
                  <c:v>2023</c:v>
                </c:pt>
                <c:pt idx="3">
                  <c:v>2024</c:v>
                </c:pt>
                <c:pt idx="4">
                  <c:v>2025</c:v>
                </c:pt>
                <c:pt idx="5">
                  <c:v>2026</c:v>
                </c:pt>
                <c:pt idx="6">
                  <c:v>2027</c:v>
                </c:pt>
                <c:pt idx="7">
                  <c:v>2028</c:v>
                </c:pt>
                <c:pt idx="8">
                  <c:v>2029</c:v>
                </c:pt>
                <c:pt idx="9">
                  <c:v>2030</c:v>
                </c:pt>
              </c:numCache>
            </c:numRef>
          </c:cat>
          <c:val>
            <c:numRef>
              <c:f>'Récapitulatif évolution'!$LR$45:$LR$54</c:f>
              <c:numCache>
                <c:formatCode>_-* #\ ##0_-;\-* #\ ##0_-;_-* "-"??_-;_-@_-</c:formatCode>
                <c:ptCount val="10"/>
                <c:pt idx="0">
                  <c:v>280054</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CE99-4EB4-9553-36714AA75672}"/>
            </c:ext>
          </c:extLst>
        </c:ser>
        <c:ser>
          <c:idx val="1"/>
          <c:order val="1"/>
          <c:tx>
            <c:strRef>
              <c:f>'Récapitulatif évolution'!$LQ$44</c:f>
              <c:strCache>
                <c:ptCount val="1"/>
                <c:pt idx="0">
                  <c:v>NOX : objectif  réglementaire</c:v>
                </c:pt>
              </c:strCache>
            </c:strRef>
          </c:tx>
          <c:spPr>
            <a:ln>
              <a:solidFill>
                <a:srgbClr val="039A9F"/>
              </a:solidFill>
            </a:ln>
          </c:spPr>
          <c:marker>
            <c:symbol val="none"/>
          </c:marker>
          <c:cat>
            <c:numRef>
              <c:f>'Récapitulatif évolution'!$LP$45:$LP$54</c:f>
              <c:numCache>
                <c:formatCode>General</c:formatCode>
                <c:ptCount val="10"/>
                <c:pt idx="0">
                  <c:v>2015</c:v>
                </c:pt>
                <c:pt idx="1">
                  <c:v>2022</c:v>
                </c:pt>
                <c:pt idx="2">
                  <c:v>2023</c:v>
                </c:pt>
                <c:pt idx="3">
                  <c:v>2024</c:v>
                </c:pt>
                <c:pt idx="4">
                  <c:v>2025</c:v>
                </c:pt>
                <c:pt idx="5">
                  <c:v>2026</c:v>
                </c:pt>
                <c:pt idx="6">
                  <c:v>2027</c:v>
                </c:pt>
                <c:pt idx="7">
                  <c:v>2028</c:v>
                </c:pt>
                <c:pt idx="8">
                  <c:v>2029</c:v>
                </c:pt>
                <c:pt idx="9">
                  <c:v>2030</c:v>
                </c:pt>
              </c:numCache>
            </c:numRef>
          </c:cat>
          <c:val>
            <c:numRef>
              <c:f>'Récapitulatif évolution'!$LQ$45:$LQ$54</c:f>
              <c:numCache>
                <c:formatCode>_-* #\ ##0_-;\-* #\ ##0_-;_-* "-"??_-;_-@_-</c:formatCode>
                <c:ptCount val="10"/>
                <c:pt idx="0">
                  <c:v>280054</c:v>
                </c:pt>
                <c:pt idx="1">
                  <c:v>171144.11111111112</c:v>
                </c:pt>
                <c:pt idx="2">
                  <c:v>155585.55555555556</c:v>
                </c:pt>
                <c:pt idx="3">
                  <c:v>140027</c:v>
                </c:pt>
                <c:pt idx="4">
                  <c:v>135359.43333333335</c:v>
                </c:pt>
                <c:pt idx="5">
                  <c:v>130691.86666666667</c:v>
                </c:pt>
                <c:pt idx="6">
                  <c:v>126024.3</c:v>
                </c:pt>
                <c:pt idx="7">
                  <c:v>121356.73333333334</c:v>
                </c:pt>
                <c:pt idx="8">
                  <c:v>116689.16666666667</c:v>
                </c:pt>
                <c:pt idx="9">
                  <c:v>112021.6</c:v>
                </c:pt>
              </c:numCache>
            </c:numRef>
          </c:val>
          <c:smooth val="0"/>
          <c:extLst>
            <c:ext xmlns:c16="http://schemas.microsoft.com/office/drawing/2014/chart" uri="{C3380CC4-5D6E-409C-BE32-E72D297353CC}">
              <c16:uniqueId val="{00000002-CE99-4EB4-9553-36714AA75672}"/>
            </c:ext>
          </c:extLst>
        </c:ser>
        <c:dLbls>
          <c:showLegendKey val="0"/>
          <c:showVal val="0"/>
          <c:showCatName val="0"/>
          <c:showSerName val="0"/>
          <c:showPercent val="0"/>
          <c:showBubbleSize val="0"/>
        </c:dLbls>
        <c:smooth val="0"/>
        <c:axId val="261160431"/>
        <c:axId val="1"/>
      </c:lineChart>
      <c:catAx>
        <c:axId val="261160431"/>
        <c:scaling>
          <c:orientation val="minMax"/>
        </c:scaling>
        <c:delete val="0"/>
        <c:axPos val="b"/>
        <c:numFmt formatCode="General" sourceLinked="1"/>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numFmt formatCode="_-* #\ ##0_-;\-* #\ ##0_-;_-* &quot;-&quot;??_-;_-@_-" sourceLinked="1"/>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fr-FR"/>
          </a:p>
        </c:txPr>
        <c:crossAx val="261160431"/>
        <c:crosses val="autoZero"/>
        <c:crossBetween val="between"/>
      </c:valAx>
    </c:plotArea>
    <c:legend>
      <c:legendPos val="r"/>
      <c:layout>
        <c:manualLayout>
          <c:xMode val="edge"/>
          <c:yMode val="edge"/>
          <c:x val="0.65147874015748031"/>
          <c:y val="0.199185466274547"/>
          <c:w val="0.20192456538375403"/>
          <c:h val="0.11809209531748739"/>
        </c:manualLayout>
      </c:layout>
      <c:overlay val="0"/>
      <c:txPr>
        <a:bodyPr/>
        <a:lstStyle/>
        <a:p>
          <a:pPr>
            <a:defRPr sz="1285" b="0" i="0" u="none" strike="noStrike" baseline="0">
              <a:solidFill>
                <a:srgbClr val="000000"/>
              </a:solidFill>
              <a:latin typeface="Calibri"/>
              <a:ea typeface="Calibri"/>
              <a:cs typeface="Calibri"/>
            </a:defRPr>
          </a:pPr>
          <a:endParaRPr lang="fr-FR"/>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fr-FR"/>
              <a:t>Emissions de</a:t>
            </a:r>
            <a:r>
              <a:rPr lang="fr-FR" baseline="0"/>
              <a:t> SO2  </a:t>
            </a:r>
            <a:r>
              <a:rPr lang="fr-FR"/>
              <a:t>(tonnes/an)</a:t>
            </a:r>
          </a:p>
        </c:rich>
      </c:tx>
      <c:overlay val="0"/>
    </c:title>
    <c:autoTitleDeleted val="0"/>
    <c:plotArea>
      <c:layout>
        <c:manualLayout>
          <c:layoutTarget val="inner"/>
          <c:xMode val="edge"/>
          <c:yMode val="edge"/>
          <c:x val="5.1222272215973003E-2"/>
          <c:y val="0.11021705720519875"/>
          <c:w val="0.58459587551556058"/>
          <c:h val="0.80258590266578123"/>
        </c:manualLayout>
      </c:layout>
      <c:lineChart>
        <c:grouping val="standard"/>
        <c:varyColors val="0"/>
        <c:ser>
          <c:idx val="0"/>
          <c:order val="0"/>
          <c:tx>
            <c:strRef>
              <c:f>'Récapitulatif évolution'!$LY$44</c:f>
              <c:strCache>
                <c:ptCount val="1"/>
                <c:pt idx="0">
                  <c:v>SO2 : objectif  réglementaire</c:v>
                </c:pt>
              </c:strCache>
            </c:strRef>
          </c:tx>
          <c:spPr>
            <a:ln>
              <a:solidFill>
                <a:srgbClr val="039A9F"/>
              </a:solidFill>
            </a:ln>
          </c:spPr>
          <c:marker>
            <c:symbol val="none"/>
          </c:marker>
          <c:cat>
            <c:numRef>
              <c:f>'Récapitulatif évolution'!$LP$45:$LP$54</c:f>
              <c:numCache>
                <c:formatCode>General</c:formatCode>
                <c:ptCount val="10"/>
                <c:pt idx="0">
                  <c:v>2015</c:v>
                </c:pt>
                <c:pt idx="1">
                  <c:v>2022</c:v>
                </c:pt>
                <c:pt idx="2">
                  <c:v>2023</c:v>
                </c:pt>
                <c:pt idx="3">
                  <c:v>2024</c:v>
                </c:pt>
                <c:pt idx="4">
                  <c:v>2025</c:v>
                </c:pt>
                <c:pt idx="5">
                  <c:v>2026</c:v>
                </c:pt>
                <c:pt idx="6">
                  <c:v>2027</c:v>
                </c:pt>
                <c:pt idx="7">
                  <c:v>2028</c:v>
                </c:pt>
                <c:pt idx="8">
                  <c:v>2029</c:v>
                </c:pt>
                <c:pt idx="9">
                  <c:v>2030</c:v>
                </c:pt>
              </c:numCache>
            </c:numRef>
          </c:cat>
          <c:val>
            <c:numRef>
              <c:f>'Récapitulatif évolution'!$LY$45:$LY$54</c:f>
              <c:numCache>
                <c:formatCode>_-* #\ ##0_-;\-* #\ ##0_-;_-* "-"??_-;_-@_-</c:formatCode>
                <c:ptCount val="10"/>
                <c:pt idx="0">
                  <c:v>2513</c:v>
                </c:pt>
                <c:pt idx="1">
                  <c:v>1437.9944444444445</c:v>
                </c:pt>
                <c:pt idx="2">
                  <c:v>1284.4222222222224</c:v>
                </c:pt>
                <c:pt idx="3">
                  <c:v>1130.8500000000001</c:v>
                </c:pt>
                <c:pt idx="4">
                  <c:v>1084.7783333333334</c:v>
                </c:pt>
                <c:pt idx="5">
                  <c:v>1038.7066666666667</c:v>
                </c:pt>
                <c:pt idx="6">
                  <c:v>992.6350000000001</c:v>
                </c:pt>
                <c:pt idx="7">
                  <c:v>946.56333333333339</c:v>
                </c:pt>
                <c:pt idx="8">
                  <c:v>900.49166666666679</c:v>
                </c:pt>
                <c:pt idx="9">
                  <c:v>854.42000000000007</c:v>
                </c:pt>
              </c:numCache>
            </c:numRef>
          </c:val>
          <c:smooth val="0"/>
          <c:extLst>
            <c:ext xmlns:c16="http://schemas.microsoft.com/office/drawing/2014/chart" uri="{C3380CC4-5D6E-409C-BE32-E72D297353CC}">
              <c16:uniqueId val="{00000001-4B54-4A7C-B136-3A0E52FE07B7}"/>
            </c:ext>
          </c:extLst>
        </c:ser>
        <c:ser>
          <c:idx val="1"/>
          <c:order val="1"/>
          <c:tx>
            <c:strRef>
              <c:f>'Récapitulatif évolution'!$LZ$44</c:f>
              <c:strCache>
                <c:ptCount val="1"/>
                <c:pt idx="0">
                  <c:v>SO2 : mesures réelles</c:v>
                </c:pt>
              </c:strCache>
            </c:strRef>
          </c:tx>
          <c:spPr>
            <a:ln>
              <a:solidFill>
                <a:srgbClr val="FDC062"/>
              </a:solidFill>
            </a:ln>
          </c:spPr>
          <c:marker>
            <c:symbol val="none"/>
          </c:marker>
          <c:cat>
            <c:numRef>
              <c:f>'Récapitulatif évolution'!$LP$45:$LP$54</c:f>
              <c:numCache>
                <c:formatCode>General</c:formatCode>
                <c:ptCount val="10"/>
                <c:pt idx="0">
                  <c:v>2015</c:v>
                </c:pt>
                <c:pt idx="1">
                  <c:v>2022</c:v>
                </c:pt>
                <c:pt idx="2">
                  <c:v>2023</c:v>
                </c:pt>
                <c:pt idx="3">
                  <c:v>2024</c:v>
                </c:pt>
                <c:pt idx="4">
                  <c:v>2025</c:v>
                </c:pt>
                <c:pt idx="5">
                  <c:v>2026</c:v>
                </c:pt>
                <c:pt idx="6">
                  <c:v>2027</c:v>
                </c:pt>
                <c:pt idx="7">
                  <c:v>2028</c:v>
                </c:pt>
                <c:pt idx="8">
                  <c:v>2029</c:v>
                </c:pt>
                <c:pt idx="9">
                  <c:v>2030</c:v>
                </c:pt>
              </c:numCache>
            </c:numRef>
          </c:cat>
          <c:val>
            <c:numRef>
              <c:f>'Récapitulatif évolution'!$LZ$45:$LZ$54</c:f>
              <c:numCache>
                <c:formatCode>_-* #\ ##0_-;\-* #\ ##0_-;_-* "-"??_-;_-@_-</c:formatCode>
                <c:ptCount val="10"/>
                <c:pt idx="0">
                  <c:v>2513</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4B54-4A7C-B136-3A0E52FE07B7}"/>
            </c:ext>
          </c:extLst>
        </c:ser>
        <c:dLbls>
          <c:showLegendKey val="0"/>
          <c:showVal val="0"/>
          <c:showCatName val="0"/>
          <c:showSerName val="0"/>
          <c:showPercent val="0"/>
          <c:showBubbleSize val="0"/>
        </c:dLbls>
        <c:smooth val="0"/>
        <c:axId val="261160431"/>
        <c:axId val="1"/>
      </c:lineChart>
      <c:catAx>
        <c:axId val="261160431"/>
        <c:scaling>
          <c:orientation val="minMax"/>
        </c:scaling>
        <c:delete val="0"/>
        <c:axPos val="b"/>
        <c:numFmt formatCode="General" sourceLinked="1"/>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numFmt formatCode="_-* #\ ##0_-;\-* #\ ##0_-;_-* &quot;-&quot;??_-;_-@_-" sourceLinked="1"/>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fr-FR"/>
          </a:p>
        </c:txPr>
        <c:crossAx val="261160431"/>
        <c:crosses val="autoZero"/>
        <c:crossBetween val="between"/>
      </c:valAx>
    </c:plotArea>
    <c:legend>
      <c:legendPos val="r"/>
      <c:layout>
        <c:manualLayout>
          <c:xMode val="edge"/>
          <c:yMode val="edge"/>
          <c:x val="0.65147874015748031"/>
          <c:y val="0.199185466274547"/>
          <c:w val="0.20114339493829655"/>
          <c:h val="0.11796267932261892"/>
        </c:manualLayout>
      </c:layout>
      <c:overlay val="0"/>
      <c:txPr>
        <a:bodyPr/>
        <a:lstStyle/>
        <a:p>
          <a:pPr>
            <a:defRPr sz="1285" b="0" i="0" u="none" strike="noStrike" baseline="0">
              <a:solidFill>
                <a:srgbClr val="000000"/>
              </a:solidFill>
              <a:latin typeface="Calibri"/>
              <a:ea typeface="Calibri"/>
              <a:cs typeface="Calibri"/>
            </a:defRPr>
          </a:pPr>
          <a:endParaRPr lang="fr-FR"/>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fr-FR"/>
              <a:t>Emissions de</a:t>
            </a:r>
            <a:r>
              <a:rPr lang="fr-FR" baseline="0"/>
              <a:t> COVNM  </a:t>
            </a:r>
            <a:r>
              <a:rPr lang="fr-FR"/>
              <a:t>(tonnes/an)</a:t>
            </a:r>
          </a:p>
        </c:rich>
      </c:tx>
      <c:overlay val="0"/>
    </c:title>
    <c:autoTitleDeleted val="0"/>
    <c:plotArea>
      <c:layout>
        <c:manualLayout>
          <c:layoutTarget val="inner"/>
          <c:xMode val="edge"/>
          <c:yMode val="edge"/>
          <c:x val="5.1222272215973003E-2"/>
          <c:y val="0.11021705720519875"/>
          <c:w val="0.58459587551556058"/>
          <c:h val="0.80258590266578123"/>
        </c:manualLayout>
      </c:layout>
      <c:lineChart>
        <c:grouping val="standard"/>
        <c:varyColors val="0"/>
        <c:ser>
          <c:idx val="0"/>
          <c:order val="0"/>
          <c:tx>
            <c:strRef>
              <c:f>'Récapitulatif évolution'!$LW$44</c:f>
              <c:strCache>
                <c:ptCount val="1"/>
                <c:pt idx="0">
                  <c:v>COV : objectif réglementaire</c:v>
                </c:pt>
              </c:strCache>
            </c:strRef>
          </c:tx>
          <c:spPr>
            <a:ln>
              <a:solidFill>
                <a:srgbClr val="039A9F"/>
              </a:solidFill>
            </a:ln>
          </c:spPr>
          <c:marker>
            <c:symbol val="none"/>
          </c:marker>
          <c:cat>
            <c:numRef>
              <c:f>'Récapitulatif évolution'!$LP$45:$LP$54</c:f>
              <c:numCache>
                <c:formatCode>General</c:formatCode>
                <c:ptCount val="10"/>
                <c:pt idx="0">
                  <c:v>2015</c:v>
                </c:pt>
                <c:pt idx="1">
                  <c:v>2022</c:v>
                </c:pt>
                <c:pt idx="2">
                  <c:v>2023</c:v>
                </c:pt>
                <c:pt idx="3">
                  <c:v>2024</c:v>
                </c:pt>
                <c:pt idx="4">
                  <c:v>2025</c:v>
                </c:pt>
                <c:pt idx="5">
                  <c:v>2026</c:v>
                </c:pt>
                <c:pt idx="6">
                  <c:v>2027</c:v>
                </c:pt>
                <c:pt idx="7">
                  <c:v>2028</c:v>
                </c:pt>
                <c:pt idx="8">
                  <c:v>2029</c:v>
                </c:pt>
                <c:pt idx="9">
                  <c:v>2030</c:v>
                </c:pt>
              </c:numCache>
            </c:numRef>
          </c:cat>
          <c:val>
            <c:numRef>
              <c:f>'Récapitulatif évolution'!$LW$45:$LW$54</c:f>
              <c:numCache>
                <c:formatCode>_-* #\ ##0_-;\-* #\ ##0_-;_-* "-"??_-;_-@_-</c:formatCode>
                <c:ptCount val="10"/>
                <c:pt idx="0">
                  <c:v>645575</c:v>
                </c:pt>
                <c:pt idx="1">
                  <c:v>519042.30000000005</c:v>
                </c:pt>
                <c:pt idx="2">
                  <c:v>500966.2</c:v>
                </c:pt>
                <c:pt idx="3">
                  <c:v>482890.1</c:v>
                </c:pt>
                <c:pt idx="4">
                  <c:v>464814</c:v>
                </c:pt>
                <c:pt idx="5">
                  <c:v>446737.9</c:v>
                </c:pt>
                <c:pt idx="6">
                  <c:v>428661.80000000005</c:v>
                </c:pt>
                <c:pt idx="7">
                  <c:v>410585.7</c:v>
                </c:pt>
                <c:pt idx="8">
                  <c:v>392509.60000000003</c:v>
                </c:pt>
                <c:pt idx="9">
                  <c:v>374433.5</c:v>
                </c:pt>
              </c:numCache>
            </c:numRef>
          </c:val>
          <c:smooth val="0"/>
          <c:extLst>
            <c:ext xmlns:c16="http://schemas.microsoft.com/office/drawing/2014/chart" uri="{C3380CC4-5D6E-409C-BE32-E72D297353CC}">
              <c16:uniqueId val="{00000001-6446-4CF0-9815-6EC440AAEC37}"/>
            </c:ext>
          </c:extLst>
        </c:ser>
        <c:ser>
          <c:idx val="1"/>
          <c:order val="1"/>
          <c:tx>
            <c:strRef>
              <c:f>'Récapitulatif évolution'!$LX$44</c:f>
              <c:strCache>
                <c:ptCount val="1"/>
                <c:pt idx="0">
                  <c:v>COV : mesures réelles</c:v>
                </c:pt>
              </c:strCache>
            </c:strRef>
          </c:tx>
          <c:spPr>
            <a:ln>
              <a:solidFill>
                <a:srgbClr val="FDC062"/>
              </a:solidFill>
            </a:ln>
          </c:spPr>
          <c:marker>
            <c:symbol val="none"/>
          </c:marker>
          <c:cat>
            <c:numRef>
              <c:f>'Récapitulatif évolution'!$LP$45:$LP$54</c:f>
              <c:numCache>
                <c:formatCode>General</c:formatCode>
                <c:ptCount val="10"/>
                <c:pt idx="0">
                  <c:v>2015</c:v>
                </c:pt>
                <c:pt idx="1">
                  <c:v>2022</c:v>
                </c:pt>
                <c:pt idx="2">
                  <c:v>2023</c:v>
                </c:pt>
                <c:pt idx="3">
                  <c:v>2024</c:v>
                </c:pt>
                <c:pt idx="4">
                  <c:v>2025</c:v>
                </c:pt>
                <c:pt idx="5">
                  <c:v>2026</c:v>
                </c:pt>
                <c:pt idx="6">
                  <c:v>2027</c:v>
                </c:pt>
                <c:pt idx="7">
                  <c:v>2028</c:v>
                </c:pt>
                <c:pt idx="8">
                  <c:v>2029</c:v>
                </c:pt>
                <c:pt idx="9">
                  <c:v>2030</c:v>
                </c:pt>
              </c:numCache>
            </c:numRef>
          </c:cat>
          <c:val>
            <c:numRef>
              <c:f>'Récapitulatif évolution'!$LX$45:$LX$54</c:f>
              <c:numCache>
                <c:formatCode>_-* #\ ##0_-;\-* #\ ##0_-;_-* "-"??_-;_-@_-</c:formatCode>
                <c:ptCount val="10"/>
                <c:pt idx="0">
                  <c:v>645575</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6446-4CF0-9815-6EC440AAEC37}"/>
            </c:ext>
          </c:extLst>
        </c:ser>
        <c:dLbls>
          <c:showLegendKey val="0"/>
          <c:showVal val="0"/>
          <c:showCatName val="0"/>
          <c:showSerName val="0"/>
          <c:showPercent val="0"/>
          <c:showBubbleSize val="0"/>
        </c:dLbls>
        <c:smooth val="0"/>
        <c:axId val="261160431"/>
        <c:axId val="1"/>
      </c:lineChart>
      <c:catAx>
        <c:axId val="261160431"/>
        <c:scaling>
          <c:orientation val="minMax"/>
        </c:scaling>
        <c:delete val="0"/>
        <c:axPos val="b"/>
        <c:numFmt formatCode="General" sourceLinked="1"/>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numFmt formatCode="_-* #\ ##0_-;\-* #\ ##0_-;_-* &quot;-&quot;??_-;_-@_-" sourceLinked="1"/>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fr-FR"/>
          </a:p>
        </c:txPr>
        <c:crossAx val="261160431"/>
        <c:crosses val="autoZero"/>
        <c:crossBetween val="between"/>
      </c:valAx>
    </c:plotArea>
    <c:legend>
      <c:legendPos val="r"/>
      <c:layout>
        <c:manualLayout>
          <c:xMode val="edge"/>
          <c:yMode val="edge"/>
          <c:x val="0.65147874015748031"/>
          <c:y val="0.199185466274547"/>
          <c:w val="0.19726357816000123"/>
          <c:h val="0.11796267932261892"/>
        </c:manualLayout>
      </c:layout>
      <c:overlay val="0"/>
      <c:txPr>
        <a:bodyPr/>
        <a:lstStyle/>
        <a:p>
          <a:pPr>
            <a:defRPr sz="1285" b="0" i="0" u="none" strike="noStrike" baseline="0">
              <a:solidFill>
                <a:srgbClr val="000000"/>
              </a:solidFill>
              <a:latin typeface="Calibri"/>
              <a:ea typeface="Calibri"/>
              <a:cs typeface="Calibri"/>
            </a:defRPr>
          </a:pPr>
          <a:endParaRPr lang="fr-FR"/>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fr-FR"/>
              <a:t>Emissions de</a:t>
            </a:r>
            <a:r>
              <a:rPr lang="fr-FR" baseline="0"/>
              <a:t> NH3  </a:t>
            </a:r>
            <a:r>
              <a:rPr lang="fr-FR"/>
              <a:t>(tonnes/an)</a:t>
            </a:r>
          </a:p>
        </c:rich>
      </c:tx>
      <c:overlay val="0"/>
    </c:title>
    <c:autoTitleDeleted val="0"/>
    <c:plotArea>
      <c:layout>
        <c:manualLayout>
          <c:layoutTarget val="inner"/>
          <c:xMode val="edge"/>
          <c:yMode val="edge"/>
          <c:x val="5.1222272215973003E-2"/>
          <c:y val="0.11021705720519875"/>
          <c:w val="0.58459587551556058"/>
          <c:h val="0.80258590266578123"/>
        </c:manualLayout>
      </c:layout>
      <c:lineChart>
        <c:grouping val="standard"/>
        <c:varyColors val="0"/>
        <c:ser>
          <c:idx val="0"/>
          <c:order val="0"/>
          <c:tx>
            <c:strRef>
              <c:f>'Récapitulatif évolution'!$MA$44</c:f>
              <c:strCache>
                <c:ptCount val="1"/>
                <c:pt idx="0">
                  <c:v>NH3 : objectif  réglementaire</c:v>
                </c:pt>
              </c:strCache>
            </c:strRef>
          </c:tx>
          <c:spPr>
            <a:ln>
              <a:solidFill>
                <a:srgbClr val="039A9F"/>
              </a:solidFill>
            </a:ln>
          </c:spPr>
          <c:marker>
            <c:symbol val="none"/>
          </c:marker>
          <c:cat>
            <c:numRef>
              <c:f>'Récapitulatif évolution'!$LP$45:$LP$54</c:f>
              <c:numCache>
                <c:formatCode>General</c:formatCode>
                <c:ptCount val="10"/>
                <c:pt idx="0">
                  <c:v>2015</c:v>
                </c:pt>
                <c:pt idx="1">
                  <c:v>2022</c:v>
                </c:pt>
                <c:pt idx="2">
                  <c:v>2023</c:v>
                </c:pt>
                <c:pt idx="3">
                  <c:v>2024</c:v>
                </c:pt>
                <c:pt idx="4">
                  <c:v>2025</c:v>
                </c:pt>
                <c:pt idx="5">
                  <c:v>2026</c:v>
                </c:pt>
                <c:pt idx="6">
                  <c:v>2027</c:v>
                </c:pt>
                <c:pt idx="7">
                  <c:v>2028</c:v>
                </c:pt>
                <c:pt idx="8">
                  <c:v>2029</c:v>
                </c:pt>
                <c:pt idx="9">
                  <c:v>2030</c:v>
                </c:pt>
              </c:numCache>
            </c:numRef>
          </c:cat>
          <c:val>
            <c:numRef>
              <c:f>'Récapitulatif évolution'!$MA$45:$MA$54</c:f>
              <c:numCache>
                <c:formatCode>_-* #\ ##0_-;\-* #\ ##0_-;_-* "-"??_-;_-@_-</c:formatCode>
                <c:ptCount val="10"/>
                <c:pt idx="0">
                  <c:v>23898</c:v>
                </c:pt>
                <c:pt idx="1">
                  <c:v>23154.506666666664</c:v>
                </c:pt>
                <c:pt idx="2">
                  <c:v>23048.293333333331</c:v>
                </c:pt>
                <c:pt idx="3">
                  <c:v>22942.079999999998</c:v>
                </c:pt>
                <c:pt idx="4">
                  <c:v>22782.76</c:v>
                </c:pt>
                <c:pt idx="5">
                  <c:v>22623.439999999999</c:v>
                </c:pt>
                <c:pt idx="6">
                  <c:v>22464.12</c:v>
                </c:pt>
                <c:pt idx="7">
                  <c:v>22304.799999999999</c:v>
                </c:pt>
                <c:pt idx="8">
                  <c:v>22145.48</c:v>
                </c:pt>
                <c:pt idx="9">
                  <c:v>21986.16</c:v>
                </c:pt>
              </c:numCache>
            </c:numRef>
          </c:val>
          <c:smooth val="0"/>
          <c:extLst>
            <c:ext xmlns:c16="http://schemas.microsoft.com/office/drawing/2014/chart" uri="{C3380CC4-5D6E-409C-BE32-E72D297353CC}">
              <c16:uniqueId val="{00000001-6B6D-4B75-92C7-29F9A53A2C89}"/>
            </c:ext>
          </c:extLst>
        </c:ser>
        <c:ser>
          <c:idx val="1"/>
          <c:order val="1"/>
          <c:tx>
            <c:strRef>
              <c:f>'Récapitulatif évolution'!$MB$44</c:f>
              <c:strCache>
                <c:ptCount val="1"/>
                <c:pt idx="0">
                  <c:v>NH3 : mesures réelles</c:v>
                </c:pt>
              </c:strCache>
            </c:strRef>
          </c:tx>
          <c:spPr>
            <a:ln>
              <a:solidFill>
                <a:srgbClr val="FDC062"/>
              </a:solidFill>
            </a:ln>
          </c:spPr>
          <c:marker>
            <c:symbol val="none"/>
          </c:marker>
          <c:cat>
            <c:numRef>
              <c:f>'Récapitulatif évolution'!$LP$45:$LP$54</c:f>
              <c:numCache>
                <c:formatCode>General</c:formatCode>
                <c:ptCount val="10"/>
                <c:pt idx="0">
                  <c:v>2015</c:v>
                </c:pt>
                <c:pt idx="1">
                  <c:v>2022</c:v>
                </c:pt>
                <c:pt idx="2">
                  <c:v>2023</c:v>
                </c:pt>
                <c:pt idx="3">
                  <c:v>2024</c:v>
                </c:pt>
                <c:pt idx="4">
                  <c:v>2025</c:v>
                </c:pt>
                <c:pt idx="5">
                  <c:v>2026</c:v>
                </c:pt>
                <c:pt idx="6">
                  <c:v>2027</c:v>
                </c:pt>
                <c:pt idx="7">
                  <c:v>2028</c:v>
                </c:pt>
                <c:pt idx="8">
                  <c:v>2029</c:v>
                </c:pt>
                <c:pt idx="9">
                  <c:v>2030</c:v>
                </c:pt>
              </c:numCache>
            </c:numRef>
          </c:cat>
          <c:val>
            <c:numRef>
              <c:f>'Récapitulatif évolution'!$MB$45:$MB$54</c:f>
              <c:numCache>
                <c:formatCode>_-* #\ ##0_-;\-* #\ ##0_-;_-* "-"??_-;_-@_-</c:formatCode>
                <c:ptCount val="10"/>
                <c:pt idx="0">
                  <c:v>23898</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6B6D-4B75-92C7-29F9A53A2C89}"/>
            </c:ext>
          </c:extLst>
        </c:ser>
        <c:dLbls>
          <c:showLegendKey val="0"/>
          <c:showVal val="0"/>
          <c:showCatName val="0"/>
          <c:showSerName val="0"/>
          <c:showPercent val="0"/>
          <c:showBubbleSize val="0"/>
        </c:dLbls>
        <c:smooth val="0"/>
        <c:axId val="261160431"/>
        <c:axId val="1"/>
      </c:lineChart>
      <c:catAx>
        <c:axId val="261160431"/>
        <c:scaling>
          <c:orientation val="minMax"/>
        </c:scaling>
        <c:delete val="0"/>
        <c:axPos val="b"/>
        <c:numFmt formatCode="General" sourceLinked="1"/>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numFmt formatCode="_-* #\ ##0_-;\-* #\ ##0_-;_-* &quot;-&quot;??_-;_-@_-" sourceLinked="1"/>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fr-FR"/>
          </a:p>
        </c:txPr>
        <c:crossAx val="261160431"/>
        <c:crosses val="autoZero"/>
        <c:crossBetween val="between"/>
      </c:valAx>
    </c:plotArea>
    <c:legend>
      <c:legendPos val="r"/>
      <c:layout>
        <c:manualLayout>
          <c:xMode val="edge"/>
          <c:yMode val="edge"/>
          <c:x val="0.65147874015748031"/>
          <c:y val="0.199185466274547"/>
          <c:w val="0.20325501067715476"/>
          <c:h val="0.11796267932261892"/>
        </c:manualLayout>
      </c:layout>
      <c:overlay val="0"/>
      <c:txPr>
        <a:bodyPr/>
        <a:lstStyle/>
        <a:p>
          <a:pPr>
            <a:defRPr sz="1285" b="0" i="0" u="none" strike="noStrike" baseline="0">
              <a:solidFill>
                <a:srgbClr val="000000"/>
              </a:solidFill>
              <a:latin typeface="Calibri"/>
              <a:ea typeface="Calibri"/>
              <a:cs typeface="Calibri"/>
            </a:defRPr>
          </a:pPr>
          <a:endParaRPr lang="fr-FR"/>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1.jpe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1.jpe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1.jpe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1.jpe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7.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1.jpe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image" Target="../media/image2.png"/><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1.xml"/><Relationship Id="rId1" Type="http://schemas.openxmlformats.org/officeDocument/2006/relationships/image" Target="../media/image1.jpe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0</xdr:col>
      <xdr:colOff>225137</xdr:colOff>
      <xdr:row>1</xdr:row>
      <xdr:rowOff>138546</xdr:rowOff>
    </xdr:from>
    <xdr:to>
      <xdr:col>1</xdr:col>
      <xdr:colOff>1495714</xdr:colOff>
      <xdr:row>4</xdr:row>
      <xdr:rowOff>59052</xdr:rowOff>
    </xdr:to>
    <xdr:pic>
      <xdr:nvPicPr>
        <xdr:cNvPr id="2" name="Image 1" descr="LOGO VIZEA">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25137" y="321426"/>
          <a:ext cx="1668087" cy="819666"/>
        </a:xfrm>
        <a:prstGeom prst="rect">
          <a:avLst/>
        </a:prstGeom>
        <a:noFill/>
        <a:ln>
          <a:noFill/>
        </a:ln>
      </xdr:spPr>
    </xdr:pic>
    <xdr:clientData/>
  </xdr:twoCellAnchor>
  <xdr:twoCellAnchor editAs="oneCell">
    <xdr:from>
      <xdr:col>13</xdr:col>
      <xdr:colOff>1407581</xdr:colOff>
      <xdr:row>0</xdr:row>
      <xdr:rowOff>0</xdr:rowOff>
    </xdr:from>
    <xdr:to>
      <xdr:col>15</xdr:col>
      <xdr:colOff>119592</xdr:colOff>
      <xdr:row>4</xdr:row>
      <xdr:rowOff>0</xdr:rowOff>
    </xdr:to>
    <xdr:pic>
      <xdr:nvPicPr>
        <xdr:cNvPr id="5" name="Imag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795998" y="0"/>
          <a:ext cx="1654177" cy="1100667"/>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225137</xdr:colOff>
      <xdr:row>1</xdr:row>
      <xdr:rowOff>138546</xdr:rowOff>
    </xdr:from>
    <xdr:to>
      <xdr:col>1</xdr:col>
      <xdr:colOff>1502064</xdr:colOff>
      <xdr:row>5</xdr:row>
      <xdr:rowOff>59052</xdr:rowOff>
    </xdr:to>
    <xdr:pic>
      <xdr:nvPicPr>
        <xdr:cNvPr id="2" name="Image 1" descr="LOGO VIZEA">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21962" y="322696"/>
          <a:ext cx="1680152" cy="822206"/>
        </a:xfrm>
        <a:prstGeom prst="rect">
          <a:avLst/>
        </a:prstGeom>
        <a:noFill/>
        <a:ln>
          <a:noFill/>
        </a:ln>
      </xdr:spPr>
    </xdr:pic>
    <xdr:clientData/>
  </xdr:twoCellAnchor>
  <xdr:twoCellAnchor editAs="oneCell">
    <xdr:from>
      <xdr:col>4</xdr:col>
      <xdr:colOff>4416136</xdr:colOff>
      <xdr:row>0</xdr:row>
      <xdr:rowOff>116205</xdr:rowOff>
    </xdr:from>
    <xdr:to>
      <xdr:col>4</xdr:col>
      <xdr:colOff>6164292</xdr:colOff>
      <xdr:row>6</xdr:row>
      <xdr:rowOff>2269</xdr:rowOff>
    </xdr:to>
    <xdr:pic>
      <xdr:nvPicPr>
        <xdr:cNvPr id="5" name="Imag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248409" y="116205"/>
          <a:ext cx="1741806" cy="1184928"/>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225137</xdr:colOff>
      <xdr:row>1</xdr:row>
      <xdr:rowOff>138546</xdr:rowOff>
    </xdr:from>
    <xdr:to>
      <xdr:col>1</xdr:col>
      <xdr:colOff>1495714</xdr:colOff>
      <xdr:row>4</xdr:row>
      <xdr:rowOff>59052</xdr:rowOff>
    </xdr:to>
    <xdr:pic>
      <xdr:nvPicPr>
        <xdr:cNvPr id="7" name="Image 6" descr="LOGO VIZEA">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25137" y="329046"/>
          <a:ext cx="1651577" cy="841256"/>
        </a:xfrm>
        <a:prstGeom prst="rect">
          <a:avLst/>
        </a:prstGeom>
        <a:noFill/>
        <a:ln>
          <a:noFill/>
        </a:ln>
      </xdr:spPr>
    </xdr:pic>
    <xdr:clientData/>
  </xdr:twoCellAnchor>
  <xdr:twoCellAnchor editAs="oneCell">
    <xdr:from>
      <xdr:col>8</xdr:col>
      <xdr:colOff>1372244</xdr:colOff>
      <xdr:row>7</xdr:row>
      <xdr:rowOff>202358</xdr:rowOff>
    </xdr:from>
    <xdr:to>
      <xdr:col>8</xdr:col>
      <xdr:colOff>1783896</xdr:colOff>
      <xdr:row>8</xdr:row>
      <xdr:rowOff>131036</xdr:rowOff>
    </xdr:to>
    <xdr:pic>
      <xdr:nvPicPr>
        <xdr:cNvPr id="11" name="Image 10">
          <a:extLst>
            <a:ext uri="{FF2B5EF4-FFF2-40B4-BE49-F238E27FC236}">
              <a16:creationId xmlns:a16="http://schemas.microsoft.com/office/drawing/2014/main" id="{00000000-0008-0000-0200-00000B000000}"/>
            </a:ext>
          </a:extLst>
        </xdr:cNvPr>
        <xdr:cNvPicPr>
          <a:picLocks noChangeAspect="1"/>
        </xdr:cNvPicPr>
      </xdr:nvPicPr>
      <xdr:blipFill rotWithShape="1">
        <a:blip xmlns:r="http://schemas.openxmlformats.org/officeDocument/2006/relationships" r:embed="rId2" cstate="print">
          <a:duotone>
            <a:schemeClr val="accent2">
              <a:shade val="45000"/>
              <a:satMod val="135000"/>
            </a:schemeClr>
            <a:prstClr val="white"/>
          </a:duotone>
          <a:extLst>
            <a:ext uri="{28A0092B-C50C-407E-A947-70E740481C1C}">
              <a14:useLocalDpi xmlns:a14="http://schemas.microsoft.com/office/drawing/2010/main" val="0"/>
            </a:ext>
          </a:extLst>
        </a:blip>
        <a:srcRect b="15361"/>
        <a:stretch/>
      </xdr:blipFill>
      <xdr:spPr>
        <a:xfrm>
          <a:off x="20165069" y="2183558"/>
          <a:ext cx="408477" cy="309678"/>
        </a:xfrm>
        <a:prstGeom prst="rect">
          <a:avLst/>
        </a:prstGeom>
      </xdr:spPr>
    </xdr:pic>
    <xdr:clientData/>
  </xdr:twoCellAnchor>
  <xdr:twoCellAnchor editAs="oneCell">
    <xdr:from>
      <xdr:col>6</xdr:col>
      <xdr:colOff>309669</xdr:colOff>
      <xdr:row>7</xdr:row>
      <xdr:rowOff>223631</xdr:rowOff>
    </xdr:from>
    <xdr:to>
      <xdr:col>6</xdr:col>
      <xdr:colOff>647705</xdr:colOff>
      <xdr:row>8</xdr:row>
      <xdr:rowOff>141477</xdr:rowOff>
    </xdr:to>
    <xdr:pic>
      <xdr:nvPicPr>
        <xdr:cNvPr id="12" name="Image 11">
          <a:extLst>
            <a:ext uri="{FF2B5EF4-FFF2-40B4-BE49-F238E27FC236}">
              <a16:creationId xmlns:a16="http://schemas.microsoft.com/office/drawing/2014/main" id="{00000000-0008-0000-0200-00000C000000}"/>
            </a:ext>
          </a:extLst>
        </xdr:cNvPr>
        <xdr:cNvPicPr>
          <a:picLocks noChangeAspect="1"/>
        </xdr:cNvPicPr>
      </xdr:nvPicPr>
      <xdr:blipFill rotWithShape="1">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rcRect b="19726"/>
        <a:stretch/>
      </xdr:blipFill>
      <xdr:spPr>
        <a:xfrm>
          <a:off x="16891452" y="2203174"/>
          <a:ext cx="338036" cy="302021"/>
        </a:xfrm>
        <a:prstGeom prst="rect">
          <a:avLst/>
        </a:prstGeom>
      </xdr:spPr>
    </xdr:pic>
    <xdr:clientData/>
  </xdr:twoCellAnchor>
  <xdr:twoCellAnchor editAs="oneCell">
    <xdr:from>
      <xdr:col>9</xdr:col>
      <xdr:colOff>414857</xdr:colOff>
      <xdr:row>7</xdr:row>
      <xdr:rowOff>209865</xdr:rowOff>
    </xdr:from>
    <xdr:to>
      <xdr:col>9</xdr:col>
      <xdr:colOff>788596</xdr:colOff>
      <xdr:row>8</xdr:row>
      <xdr:rowOff>125004</xdr:rowOff>
    </xdr:to>
    <xdr:pic>
      <xdr:nvPicPr>
        <xdr:cNvPr id="14" name="Image 13">
          <a:extLst>
            <a:ext uri="{FF2B5EF4-FFF2-40B4-BE49-F238E27FC236}">
              <a16:creationId xmlns:a16="http://schemas.microsoft.com/office/drawing/2014/main" id="{00000000-0008-0000-0200-00000E000000}"/>
            </a:ext>
          </a:extLst>
        </xdr:cNvPr>
        <xdr:cNvPicPr>
          <a:picLocks noChangeAspect="1"/>
        </xdr:cNvPicPr>
      </xdr:nvPicPr>
      <xdr:blipFill rotWithShape="1">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rcRect b="23423"/>
        <a:stretch/>
      </xdr:blipFill>
      <xdr:spPr>
        <a:xfrm>
          <a:off x="20874557" y="2165665"/>
          <a:ext cx="380089" cy="302489"/>
        </a:xfrm>
        <a:prstGeom prst="rect">
          <a:avLst/>
        </a:prstGeom>
      </xdr:spPr>
    </xdr:pic>
    <xdr:clientData/>
  </xdr:twoCellAnchor>
  <xdr:twoCellAnchor editAs="oneCell">
    <xdr:from>
      <xdr:col>7</xdr:col>
      <xdr:colOff>354180</xdr:colOff>
      <xdr:row>7</xdr:row>
      <xdr:rowOff>76200</xdr:rowOff>
    </xdr:from>
    <xdr:to>
      <xdr:col>7</xdr:col>
      <xdr:colOff>799570</xdr:colOff>
      <xdr:row>8</xdr:row>
      <xdr:rowOff>84781</xdr:rowOff>
    </xdr:to>
    <xdr:pic>
      <xdr:nvPicPr>
        <xdr:cNvPr id="15" name="Image 14">
          <a:extLst>
            <a:ext uri="{FF2B5EF4-FFF2-40B4-BE49-F238E27FC236}">
              <a16:creationId xmlns:a16="http://schemas.microsoft.com/office/drawing/2014/main" id="{00000000-0008-0000-0200-00000F000000}"/>
            </a:ext>
          </a:extLst>
        </xdr:cNvPr>
        <xdr:cNvPicPr>
          <a:picLocks noChangeAspect="1"/>
        </xdr:cNvPicPr>
      </xdr:nvPicPr>
      <xdr:blipFill rotWithShape="1">
        <a:blip xmlns:r="http://schemas.openxmlformats.org/officeDocument/2006/relationships" r:embed="rId5" cstate="print">
          <a:duotone>
            <a:schemeClr val="accent6">
              <a:shade val="45000"/>
              <a:satMod val="135000"/>
            </a:schemeClr>
            <a:prstClr val="white"/>
          </a:duotone>
          <a:extLst>
            <a:ext uri="{28A0092B-C50C-407E-A947-70E740481C1C}">
              <a14:useLocalDpi xmlns:a14="http://schemas.microsoft.com/office/drawing/2010/main" val="0"/>
            </a:ext>
          </a:extLst>
        </a:blip>
        <a:srcRect b="12304"/>
        <a:stretch/>
      </xdr:blipFill>
      <xdr:spPr>
        <a:xfrm>
          <a:off x="18553280" y="2032000"/>
          <a:ext cx="445390" cy="402281"/>
        </a:xfrm>
        <a:prstGeom prst="rect">
          <a:avLst/>
        </a:prstGeom>
      </xdr:spPr>
    </xdr:pic>
    <xdr:clientData/>
  </xdr:twoCellAnchor>
  <xdr:twoCellAnchor editAs="oneCell">
    <xdr:from>
      <xdr:col>4</xdr:col>
      <xdr:colOff>214087</xdr:colOff>
      <xdr:row>7</xdr:row>
      <xdr:rowOff>215716</xdr:rowOff>
    </xdr:from>
    <xdr:to>
      <xdr:col>4</xdr:col>
      <xdr:colOff>640702</xdr:colOff>
      <xdr:row>8</xdr:row>
      <xdr:rowOff>184018</xdr:rowOff>
    </xdr:to>
    <xdr:pic>
      <xdr:nvPicPr>
        <xdr:cNvPr id="16" name="Image 15">
          <a:extLst>
            <a:ext uri="{FF2B5EF4-FFF2-40B4-BE49-F238E27FC236}">
              <a16:creationId xmlns:a16="http://schemas.microsoft.com/office/drawing/2014/main" id="{00000000-0008-0000-0200-000010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b="18006"/>
        <a:stretch/>
      </xdr:blipFill>
      <xdr:spPr>
        <a:xfrm>
          <a:off x="14742887" y="2171516"/>
          <a:ext cx="426615" cy="355652"/>
        </a:xfrm>
        <a:prstGeom prst="rect">
          <a:avLst/>
        </a:prstGeom>
      </xdr:spPr>
    </xdr:pic>
    <xdr:clientData/>
  </xdr:twoCellAnchor>
  <xdr:twoCellAnchor editAs="oneCell">
    <xdr:from>
      <xdr:col>5</xdr:col>
      <xdr:colOff>452399</xdr:colOff>
      <xdr:row>7</xdr:row>
      <xdr:rowOff>190202</xdr:rowOff>
    </xdr:from>
    <xdr:to>
      <xdr:col>5</xdr:col>
      <xdr:colOff>1016141</xdr:colOff>
      <xdr:row>8</xdr:row>
      <xdr:rowOff>210303</xdr:rowOff>
    </xdr:to>
    <xdr:pic>
      <xdr:nvPicPr>
        <xdr:cNvPr id="17" name="Image 16">
          <a:extLst>
            <a:ext uri="{FF2B5EF4-FFF2-40B4-BE49-F238E27FC236}">
              <a16:creationId xmlns:a16="http://schemas.microsoft.com/office/drawing/2014/main" id="{00000000-0008-0000-0200-000011000000}"/>
            </a:ext>
          </a:extLst>
        </xdr:cNvPr>
        <xdr:cNvPicPr>
          <a:picLocks noChangeAspect="1"/>
        </xdr:cNvPicPr>
      </xdr:nvPicPr>
      <xdr:blipFill rotWithShape="1">
        <a:blip xmlns:r="http://schemas.openxmlformats.org/officeDocument/2006/relationships" r:embed="rId7" cstate="print">
          <a:duotone>
            <a:schemeClr val="accent3">
              <a:shade val="45000"/>
              <a:satMod val="135000"/>
            </a:schemeClr>
            <a:prstClr val="white"/>
          </a:duotone>
          <a:extLst>
            <a:ext uri="{28A0092B-C50C-407E-A947-70E740481C1C}">
              <a14:useLocalDpi xmlns:a14="http://schemas.microsoft.com/office/drawing/2010/main" val="0"/>
            </a:ext>
          </a:extLst>
        </a:blip>
        <a:srcRect b="24935"/>
        <a:stretch/>
      </xdr:blipFill>
      <xdr:spPr>
        <a:xfrm>
          <a:off x="16251199" y="2146002"/>
          <a:ext cx="570092" cy="413801"/>
        </a:xfrm>
        <a:prstGeom prst="rect">
          <a:avLst/>
        </a:prstGeom>
      </xdr:spPr>
    </xdr:pic>
    <xdr:clientData/>
  </xdr:twoCellAnchor>
  <xdr:twoCellAnchor editAs="oneCell">
    <xdr:from>
      <xdr:col>24</xdr:col>
      <xdr:colOff>95250</xdr:colOff>
      <xdr:row>1</xdr:row>
      <xdr:rowOff>35718</xdr:rowOff>
    </xdr:from>
    <xdr:to>
      <xdr:col>25</xdr:col>
      <xdr:colOff>850108</xdr:colOff>
      <xdr:row>5</xdr:row>
      <xdr:rowOff>20372</xdr:rowOff>
    </xdr:to>
    <xdr:pic>
      <xdr:nvPicPr>
        <xdr:cNvPr id="10" name="Image 9">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1648063" y="226218"/>
          <a:ext cx="1662908" cy="1103842"/>
        </a:xfrm>
        <a:prstGeom prst="rect">
          <a:avLst/>
        </a:prstGeom>
        <a:noFill/>
      </xdr:spPr>
    </xdr:pic>
    <xdr:clientData/>
  </xdr:twoCellAnchor>
  <xdr:twoCellAnchor>
    <xdr:from>
      <xdr:col>0</xdr:col>
      <xdr:colOff>3175</xdr:colOff>
      <xdr:row>0</xdr:row>
      <xdr:rowOff>3175</xdr:rowOff>
    </xdr:from>
    <xdr:to>
      <xdr:col>0</xdr:col>
      <xdr:colOff>66675</xdr:colOff>
      <xdr:row>0</xdr:row>
      <xdr:rowOff>173735</xdr:rowOff>
    </xdr:to>
    <xdr:sp macro="" textlink="">
      <xdr:nvSpPr>
        <xdr:cNvPr id="2" name="ZoneTexte 1">
          <a:extLst>
            <a:ext uri="{FF2B5EF4-FFF2-40B4-BE49-F238E27FC236}">
              <a16:creationId xmlns:a16="http://schemas.microsoft.com/office/drawing/2014/main" id="{0C9D8FA7-07E8-866E-6A17-CE7380D8B278}"/>
            </a:ext>
          </a:extLst>
        </xdr:cNvPr>
        <xdr:cNvSpPr txBox="1"/>
      </xdr:nvSpPr>
      <xdr:spPr>
        <a:xfrm>
          <a:off x="3175" y="3175"/>
          <a:ext cx="63500" cy="17056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fr-FR" sz="100">
              <a:latin typeface="ZWAdobeF"/>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225137</xdr:colOff>
      <xdr:row>1</xdr:row>
      <xdr:rowOff>138546</xdr:rowOff>
    </xdr:from>
    <xdr:to>
      <xdr:col>1</xdr:col>
      <xdr:colOff>1492539</xdr:colOff>
      <xdr:row>5</xdr:row>
      <xdr:rowOff>59052</xdr:rowOff>
    </xdr:to>
    <xdr:pic>
      <xdr:nvPicPr>
        <xdr:cNvPr id="2" name="Image 1" descr="LOGO VIZEA">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25137" y="322696"/>
          <a:ext cx="1670627" cy="822206"/>
        </a:xfrm>
        <a:prstGeom prst="rect">
          <a:avLst/>
        </a:prstGeom>
        <a:noFill/>
        <a:ln>
          <a:noFill/>
        </a:ln>
      </xdr:spPr>
    </xdr:pic>
    <xdr:clientData/>
  </xdr:twoCellAnchor>
  <xdr:twoCellAnchor editAs="oneCell">
    <xdr:from>
      <xdr:col>8</xdr:col>
      <xdr:colOff>867419</xdr:colOff>
      <xdr:row>7</xdr:row>
      <xdr:rowOff>230933</xdr:rowOff>
    </xdr:from>
    <xdr:to>
      <xdr:col>8</xdr:col>
      <xdr:colOff>1266371</xdr:colOff>
      <xdr:row>8</xdr:row>
      <xdr:rowOff>277448</xdr:rowOff>
    </xdr:to>
    <xdr:pic>
      <xdr:nvPicPr>
        <xdr:cNvPr id="12" name="Image 11">
          <a:extLst>
            <a:ext uri="{FF2B5EF4-FFF2-40B4-BE49-F238E27FC236}">
              <a16:creationId xmlns:a16="http://schemas.microsoft.com/office/drawing/2014/main" id="{00000000-0008-0000-0300-00000C000000}"/>
            </a:ext>
          </a:extLst>
        </xdr:cNvPr>
        <xdr:cNvPicPr>
          <a:picLocks noChangeAspect="1"/>
        </xdr:cNvPicPr>
      </xdr:nvPicPr>
      <xdr:blipFill rotWithShape="1">
        <a:blip xmlns:r="http://schemas.openxmlformats.org/officeDocument/2006/relationships" r:embed="rId2" cstate="print">
          <a:duotone>
            <a:schemeClr val="accent2">
              <a:shade val="45000"/>
              <a:satMod val="135000"/>
            </a:schemeClr>
            <a:prstClr val="white"/>
          </a:duotone>
          <a:extLst>
            <a:ext uri="{28A0092B-C50C-407E-A947-70E740481C1C}">
              <a14:useLocalDpi xmlns:a14="http://schemas.microsoft.com/office/drawing/2010/main" val="0"/>
            </a:ext>
          </a:extLst>
        </a:blip>
        <a:srcRect b="15361"/>
        <a:stretch/>
      </xdr:blipFill>
      <xdr:spPr>
        <a:xfrm>
          <a:off x="19926944" y="1793033"/>
          <a:ext cx="402127" cy="314122"/>
        </a:xfrm>
        <a:prstGeom prst="rect">
          <a:avLst/>
        </a:prstGeom>
      </xdr:spPr>
    </xdr:pic>
    <xdr:clientData/>
  </xdr:twoCellAnchor>
  <xdr:twoCellAnchor editAs="oneCell">
    <xdr:from>
      <xdr:col>6</xdr:col>
      <xdr:colOff>309669</xdr:colOff>
      <xdr:row>7</xdr:row>
      <xdr:rowOff>215348</xdr:rowOff>
    </xdr:from>
    <xdr:to>
      <xdr:col>6</xdr:col>
      <xdr:colOff>644530</xdr:colOff>
      <xdr:row>8</xdr:row>
      <xdr:rowOff>225659</xdr:rowOff>
    </xdr:to>
    <xdr:pic>
      <xdr:nvPicPr>
        <xdr:cNvPr id="13" name="Image 12">
          <a:extLst>
            <a:ext uri="{FF2B5EF4-FFF2-40B4-BE49-F238E27FC236}">
              <a16:creationId xmlns:a16="http://schemas.microsoft.com/office/drawing/2014/main" id="{00000000-0008-0000-0300-00000D000000}"/>
            </a:ext>
          </a:extLst>
        </xdr:cNvPr>
        <xdr:cNvPicPr>
          <a:picLocks noChangeAspect="1"/>
        </xdr:cNvPicPr>
      </xdr:nvPicPr>
      <xdr:blipFill rotWithShape="1">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rcRect b="19726"/>
        <a:stretch/>
      </xdr:blipFill>
      <xdr:spPr>
        <a:xfrm>
          <a:off x="16891452" y="1772478"/>
          <a:ext cx="334861" cy="280679"/>
        </a:xfrm>
        <a:prstGeom prst="rect">
          <a:avLst/>
        </a:prstGeom>
      </xdr:spPr>
    </xdr:pic>
    <xdr:clientData/>
  </xdr:twoCellAnchor>
  <xdr:twoCellAnchor editAs="oneCell">
    <xdr:from>
      <xdr:col>9</xdr:col>
      <xdr:colOff>414857</xdr:colOff>
      <xdr:row>7</xdr:row>
      <xdr:rowOff>209865</xdr:rowOff>
    </xdr:from>
    <xdr:to>
      <xdr:col>9</xdr:col>
      <xdr:colOff>791771</xdr:colOff>
      <xdr:row>8</xdr:row>
      <xdr:rowOff>239031</xdr:rowOff>
    </xdr:to>
    <xdr:pic>
      <xdr:nvPicPr>
        <xdr:cNvPr id="14" name="Image 13">
          <a:extLst>
            <a:ext uri="{FF2B5EF4-FFF2-40B4-BE49-F238E27FC236}">
              <a16:creationId xmlns:a16="http://schemas.microsoft.com/office/drawing/2014/main" id="{00000000-0008-0000-0300-00000E000000}"/>
            </a:ext>
          </a:extLst>
        </xdr:cNvPr>
        <xdr:cNvPicPr>
          <a:picLocks noChangeAspect="1"/>
        </xdr:cNvPicPr>
      </xdr:nvPicPr>
      <xdr:blipFill rotWithShape="1">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rcRect b="23423"/>
        <a:stretch/>
      </xdr:blipFill>
      <xdr:spPr>
        <a:xfrm>
          <a:off x="20897417" y="2160585"/>
          <a:ext cx="380089" cy="297409"/>
        </a:xfrm>
        <a:prstGeom prst="rect">
          <a:avLst/>
        </a:prstGeom>
      </xdr:spPr>
    </xdr:pic>
    <xdr:clientData/>
  </xdr:twoCellAnchor>
  <xdr:twoCellAnchor editAs="oneCell">
    <xdr:from>
      <xdr:col>7</xdr:col>
      <xdr:colOff>354180</xdr:colOff>
      <xdr:row>7</xdr:row>
      <xdr:rowOff>76200</xdr:rowOff>
    </xdr:from>
    <xdr:to>
      <xdr:col>7</xdr:col>
      <xdr:colOff>790045</xdr:colOff>
      <xdr:row>8</xdr:row>
      <xdr:rowOff>208333</xdr:rowOff>
    </xdr:to>
    <xdr:pic>
      <xdr:nvPicPr>
        <xdr:cNvPr id="15" name="Image 14">
          <a:extLst>
            <a:ext uri="{FF2B5EF4-FFF2-40B4-BE49-F238E27FC236}">
              <a16:creationId xmlns:a16="http://schemas.microsoft.com/office/drawing/2014/main" id="{00000000-0008-0000-0300-00000F000000}"/>
            </a:ext>
          </a:extLst>
        </xdr:cNvPr>
        <xdr:cNvPicPr>
          <a:picLocks noChangeAspect="1"/>
        </xdr:cNvPicPr>
      </xdr:nvPicPr>
      <xdr:blipFill rotWithShape="1">
        <a:blip xmlns:r="http://schemas.openxmlformats.org/officeDocument/2006/relationships" r:embed="rId5" cstate="print">
          <a:duotone>
            <a:schemeClr val="accent6">
              <a:shade val="45000"/>
              <a:satMod val="135000"/>
            </a:schemeClr>
            <a:prstClr val="white"/>
          </a:duotone>
          <a:extLst>
            <a:ext uri="{28A0092B-C50C-407E-A947-70E740481C1C}">
              <a14:useLocalDpi xmlns:a14="http://schemas.microsoft.com/office/drawing/2010/main" val="0"/>
            </a:ext>
          </a:extLst>
        </a:blip>
        <a:srcRect b="12304"/>
        <a:stretch/>
      </xdr:blipFill>
      <xdr:spPr>
        <a:xfrm>
          <a:off x="18565980" y="2026920"/>
          <a:ext cx="445390" cy="397201"/>
        </a:xfrm>
        <a:prstGeom prst="rect">
          <a:avLst/>
        </a:prstGeom>
      </xdr:spPr>
    </xdr:pic>
    <xdr:clientData/>
  </xdr:twoCellAnchor>
  <xdr:twoCellAnchor editAs="oneCell">
    <xdr:from>
      <xdr:col>4</xdr:col>
      <xdr:colOff>379739</xdr:colOff>
      <xdr:row>7</xdr:row>
      <xdr:rowOff>232282</xdr:rowOff>
    </xdr:from>
    <xdr:to>
      <xdr:col>4</xdr:col>
      <xdr:colOff>809529</xdr:colOff>
      <xdr:row>8</xdr:row>
      <xdr:rowOff>314611</xdr:rowOff>
    </xdr:to>
    <xdr:pic>
      <xdr:nvPicPr>
        <xdr:cNvPr id="16" name="Image 15">
          <a:extLst>
            <a:ext uri="{FF2B5EF4-FFF2-40B4-BE49-F238E27FC236}">
              <a16:creationId xmlns:a16="http://schemas.microsoft.com/office/drawing/2014/main" id="{00000000-0008-0000-0300-000010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b="18006"/>
        <a:stretch/>
      </xdr:blipFill>
      <xdr:spPr>
        <a:xfrm>
          <a:off x="14476739" y="1789412"/>
          <a:ext cx="426615" cy="355872"/>
        </a:xfrm>
        <a:prstGeom prst="rect">
          <a:avLst/>
        </a:prstGeom>
      </xdr:spPr>
    </xdr:pic>
    <xdr:clientData/>
  </xdr:twoCellAnchor>
  <xdr:twoCellAnchor editAs="oneCell">
    <xdr:from>
      <xdr:col>5</xdr:col>
      <xdr:colOff>286747</xdr:colOff>
      <xdr:row>7</xdr:row>
      <xdr:rowOff>181919</xdr:rowOff>
    </xdr:from>
    <xdr:to>
      <xdr:col>5</xdr:col>
      <xdr:colOff>847314</xdr:colOff>
      <xdr:row>8</xdr:row>
      <xdr:rowOff>335097</xdr:rowOff>
    </xdr:to>
    <xdr:pic>
      <xdr:nvPicPr>
        <xdr:cNvPr id="17" name="Image 16">
          <a:extLst>
            <a:ext uri="{FF2B5EF4-FFF2-40B4-BE49-F238E27FC236}">
              <a16:creationId xmlns:a16="http://schemas.microsoft.com/office/drawing/2014/main" id="{00000000-0008-0000-0300-000011000000}"/>
            </a:ext>
          </a:extLst>
        </xdr:cNvPr>
        <xdr:cNvPicPr>
          <a:picLocks noChangeAspect="1"/>
        </xdr:cNvPicPr>
      </xdr:nvPicPr>
      <xdr:blipFill rotWithShape="1">
        <a:blip xmlns:r="http://schemas.openxmlformats.org/officeDocument/2006/relationships" r:embed="rId7" cstate="print">
          <a:duotone>
            <a:schemeClr val="accent3">
              <a:shade val="45000"/>
              <a:satMod val="135000"/>
            </a:schemeClr>
            <a:prstClr val="white"/>
          </a:duotone>
          <a:extLst>
            <a:ext uri="{28A0092B-C50C-407E-A947-70E740481C1C}">
              <a14:useLocalDpi xmlns:a14="http://schemas.microsoft.com/office/drawing/2010/main" val="0"/>
            </a:ext>
          </a:extLst>
        </a:blip>
        <a:srcRect b="24935"/>
        <a:stretch/>
      </xdr:blipFill>
      <xdr:spPr>
        <a:xfrm>
          <a:off x="15626138" y="1739049"/>
          <a:ext cx="563742" cy="420371"/>
        </a:xfrm>
        <a:prstGeom prst="rect">
          <a:avLst/>
        </a:prstGeom>
      </xdr:spPr>
    </xdr:pic>
    <xdr:clientData/>
  </xdr:twoCellAnchor>
  <xdr:twoCellAnchor editAs="oneCell">
    <xdr:from>
      <xdr:col>23</xdr:col>
      <xdr:colOff>857250</xdr:colOff>
      <xdr:row>0</xdr:row>
      <xdr:rowOff>116417</xdr:rowOff>
    </xdr:from>
    <xdr:to>
      <xdr:col>25</xdr:col>
      <xdr:colOff>773908</xdr:colOff>
      <xdr:row>5</xdr:row>
      <xdr:rowOff>121823</xdr:rowOff>
    </xdr:to>
    <xdr:pic>
      <xdr:nvPicPr>
        <xdr:cNvPr id="11" name="Image 10">
          <a:extLst>
            <a:ext uri="{FF2B5EF4-FFF2-40B4-BE49-F238E27FC236}">
              <a16:creationId xmlns:a16="http://schemas.microsoft.com/office/drawing/2014/main" id="{00000000-0008-0000-0300-00000B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7423917" y="116417"/>
          <a:ext cx="1649149" cy="1119831"/>
        </a:xfrm>
        <a:prstGeom prst="rect">
          <a:avLst/>
        </a:prstGeom>
        <a:noFill/>
      </xdr:spPr>
    </xdr:pic>
    <xdr:clientData/>
  </xdr:twoCellAnchor>
  <xdr:twoCellAnchor>
    <xdr:from>
      <xdr:col>0</xdr:col>
      <xdr:colOff>3175</xdr:colOff>
      <xdr:row>0</xdr:row>
      <xdr:rowOff>3175</xdr:rowOff>
    </xdr:from>
    <xdr:to>
      <xdr:col>0</xdr:col>
      <xdr:colOff>66675</xdr:colOff>
      <xdr:row>0</xdr:row>
      <xdr:rowOff>173735</xdr:rowOff>
    </xdr:to>
    <xdr:sp macro="" textlink="">
      <xdr:nvSpPr>
        <xdr:cNvPr id="3" name="ZoneTexte 2">
          <a:extLst>
            <a:ext uri="{FF2B5EF4-FFF2-40B4-BE49-F238E27FC236}">
              <a16:creationId xmlns:a16="http://schemas.microsoft.com/office/drawing/2014/main" id="{69FA6BD1-012F-0F07-15DA-1659D924974F}"/>
            </a:ext>
          </a:extLst>
        </xdr:cNvPr>
        <xdr:cNvSpPr txBox="1"/>
      </xdr:nvSpPr>
      <xdr:spPr>
        <a:xfrm>
          <a:off x="3175" y="3175"/>
          <a:ext cx="63500" cy="17056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fr-FR" sz="100">
              <a:latin typeface="ZWAdobeF"/>
            </a:rPr>
            <a:t>X3A0T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225137</xdr:colOff>
      <xdr:row>1</xdr:row>
      <xdr:rowOff>138546</xdr:rowOff>
    </xdr:from>
    <xdr:to>
      <xdr:col>1</xdr:col>
      <xdr:colOff>1492539</xdr:colOff>
      <xdr:row>4</xdr:row>
      <xdr:rowOff>55877</xdr:rowOff>
    </xdr:to>
    <xdr:pic>
      <xdr:nvPicPr>
        <xdr:cNvPr id="2" name="Image 1" descr="LOGO VIZEA">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25137" y="322696"/>
          <a:ext cx="1670627" cy="822206"/>
        </a:xfrm>
        <a:prstGeom prst="rect">
          <a:avLst/>
        </a:prstGeom>
        <a:noFill/>
        <a:ln>
          <a:noFill/>
        </a:ln>
      </xdr:spPr>
    </xdr:pic>
    <xdr:clientData/>
  </xdr:twoCellAnchor>
  <xdr:twoCellAnchor editAs="oneCell">
    <xdr:from>
      <xdr:col>8</xdr:col>
      <xdr:colOff>578588</xdr:colOff>
      <xdr:row>7</xdr:row>
      <xdr:rowOff>211182</xdr:rowOff>
    </xdr:from>
    <xdr:to>
      <xdr:col>8</xdr:col>
      <xdr:colOff>983890</xdr:colOff>
      <xdr:row>8</xdr:row>
      <xdr:rowOff>268130</xdr:rowOff>
    </xdr:to>
    <xdr:pic>
      <xdr:nvPicPr>
        <xdr:cNvPr id="5" name="Image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2" cstate="print">
          <a:duotone>
            <a:schemeClr val="accent2">
              <a:shade val="45000"/>
              <a:satMod val="135000"/>
            </a:schemeClr>
            <a:prstClr val="white"/>
          </a:duotone>
          <a:extLst>
            <a:ext uri="{28A0092B-C50C-407E-A947-70E740481C1C}">
              <a14:useLocalDpi xmlns:a14="http://schemas.microsoft.com/office/drawing/2010/main" val="0"/>
            </a:ext>
          </a:extLst>
        </a:blip>
        <a:srcRect b="15361"/>
        <a:stretch/>
      </xdr:blipFill>
      <xdr:spPr>
        <a:xfrm>
          <a:off x="19673412" y="2205829"/>
          <a:ext cx="408477" cy="314683"/>
        </a:xfrm>
        <a:prstGeom prst="rect">
          <a:avLst/>
        </a:prstGeom>
      </xdr:spPr>
    </xdr:pic>
    <xdr:clientData/>
  </xdr:twoCellAnchor>
  <xdr:twoCellAnchor editAs="oneCell">
    <xdr:from>
      <xdr:col>6</xdr:col>
      <xdr:colOff>354492</xdr:colOff>
      <xdr:row>7</xdr:row>
      <xdr:rowOff>200939</xdr:rowOff>
    </xdr:from>
    <xdr:to>
      <xdr:col>6</xdr:col>
      <xdr:colOff>695703</xdr:colOff>
      <xdr:row>8</xdr:row>
      <xdr:rowOff>238451</xdr:rowOff>
    </xdr:to>
    <xdr:pic>
      <xdr:nvPicPr>
        <xdr:cNvPr id="6" name="Image 5">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rcRect b="19726"/>
        <a:stretch/>
      </xdr:blipFill>
      <xdr:spPr>
        <a:xfrm>
          <a:off x="16961610" y="2195586"/>
          <a:ext cx="338036" cy="298422"/>
        </a:xfrm>
        <a:prstGeom prst="rect">
          <a:avLst/>
        </a:prstGeom>
      </xdr:spPr>
    </xdr:pic>
    <xdr:clientData/>
  </xdr:twoCellAnchor>
  <xdr:twoCellAnchor editAs="oneCell">
    <xdr:from>
      <xdr:col>9</xdr:col>
      <xdr:colOff>414857</xdr:colOff>
      <xdr:row>7</xdr:row>
      <xdr:rowOff>209865</xdr:rowOff>
    </xdr:from>
    <xdr:to>
      <xdr:col>9</xdr:col>
      <xdr:colOff>791771</xdr:colOff>
      <xdr:row>8</xdr:row>
      <xdr:rowOff>258989</xdr:rowOff>
    </xdr:to>
    <xdr:pic>
      <xdr:nvPicPr>
        <xdr:cNvPr id="7" name="Image 6">
          <a:extLst>
            <a:ext uri="{FF2B5EF4-FFF2-40B4-BE49-F238E27FC236}">
              <a16:creationId xmlns:a16="http://schemas.microsoft.com/office/drawing/2014/main" id="{00000000-0008-0000-0400-000007000000}"/>
            </a:ext>
          </a:extLst>
        </xdr:cNvPr>
        <xdr:cNvPicPr>
          <a:picLocks noChangeAspect="1"/>
        </xdr:cNvPicPr>
      </xdr:nvPicPr>
      <xdr:blipFill rotWithShape="1">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rcRect b="23423"/>
        <a:stretch/>
      </xdr:blipFill>
      <xdr:spPr>
        <a:xfrm>
          <a:off x="21171737" y="2160585"/>
          <a:ext cx="380089" cy="297409"/>
        </a:xfrm>
        <a:prstGeom prst="rect">
          <a:avLst/>
        </a:prstGeom>
      </xdr:spPr>
    </xdr:pic>
    <xdr:clientData/>
  </xdr:twoCellAnchor>
  <xdr:twoCellAnchor editAs="oneCell">
    <xdr:from>
      <xdr:col>7</xdr:col>
      <xdr:colOff>443827</xdr:colOff>
      <xdr:row>7</xdr:row>
      <xdr:rowOff>64994</xdr:rowOff>
    </xdr:from>
    <xdr:to>
      <xdr:col>7</xdr:col>
      <xdr:colOff>886042</xdr:colOff>
      <xdr:row>8</xdr:row>
      <xdr:rowOff>210735</xdr:rowOff>
    </xdr:to>
    <xdr:pic>
      <xdr:nvPicPr>
        <xdr:cNvPr id="8" name="Image 7">
          <a:extLst>
            <a:ext uri="{FF2B5EF4-FFF2-40B4-BE49-F238E27FC236}">
              <a16:creationId xmlns:a16="http://schemas.microsoft.com/office/drawing/2014/main" id="{00000000-0008-0000-0400-000008000000}"/>
            </a:ext>
          </a:extLst>
        </xdr:cNvPr>
        <xdr:cNvPicPr>
          <a:picLocks noChangeAspect="1"/>
        </xdr:cNvPicPr>
      </xdr:nvPicPr>
      <xdr:blipFill rotWithShape="1">
        <a:blip xmlns:r="http://schemas.openxmlformats.org/officeDocument/2006/relationships" r:embed="rId5" cstate="print">
          <a:duotone>
            <a:schemeClr val="accent6">
              <a:shade val="45000"/>
              <a:satMod val="135000"/>
            </a:schemeClr>
            <a:prstClr val="white"/>
          </a:duotone>
          <a:extLst>
            <a:ext uri="{28A0092B-C50C-407E-A947-70E740481C1C}">
              <a14:useLocalDpi xmlns:a14="http://schemas.microsoft.com/office/drawing/2010/main" val="0"/>
            </a:ext>
          </a:extLst>
        </a:blip>
        <a:srcRect b="12304"/>
        <a:stretch/>
      </xdr:blipFill>
      <xdr:spPr>
        <a:xfrm>
          <a:off x="18294798" y="2059641"/>
          <a:ext cx="445390" cy="403476"/>
        </a:xfrm>
        <a:prstGeom prst="rect">
          <a:avLst/>
        </a:prstGeom>
      </xdr:spPr>
    </xdr:pic>
    <xdr:clientData/>
  </xdr:twoCellAnchor>
  <xdr:twoCellAnchor editAs="oneCell">
    <xdr:from>
      <xdr:col>4</xdr:col>
      <xdr:colOff>243395</xdr:colOff>
      <xdr:row>7</xdr:row>
      <xdr:rowOff>252351</xdr:rowOff>
    </xdr:from>
    <xdr:to>
      <xdr:col>4</xdr:col>
      <xdr:colOff>673185</xdr:colOff>
      <xdr:row>8</xdr:row>
      <xdr:rowOff>354638</xdr:rowOff>
    </xdr:to>
    <xdr:pic>
      <xdr:nvPicPr>
        <xdr:cNvPr id="9" name="Image 8">
          <a:extLst>
            <a:ext uri="{FF2B5EF4-FFF2-40B4-BE49-F238E27FC236}">
              <a16:creationId xmlns:a16="http://schemas.microsoft.com/office/drawing/2014/main" id="{00000000-0008-0000-0400-000009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b="18006"/>
        <a:stretch/>
      </xdr:blipFill>
      <xdr:spPr>
        <a:xfrm>
          <a:off x="14355049" y="2230620"/>
          <a:ext cx="426615" cy="355555"/>
        </a:xfrm>
        <a:prstGeom prst="rect">
          <a:avLst/>
        </a:prstGeom>
      </xdr:spPr>
    </xdr:pic>
    <xdr:clientData/>
  </xdr:twoCellAnchor>
  <xdr:twoCellAnchor editAs="oneCell">
    <xdr:from>
      <xdr:col>5</xdr:col>
      <xdr:colOff>386457</xdr:colOff>
      <xdr:row>7</xdr:row>
      <xdr:rowOff>212183</xdr:rowOff>
    </xdr:from>
    <xdr:to>
      <xdr:col>5</xdr:col>
      <xdr:colOff>950199</xdr:colOff>
      <xdr:row>8</xdr:row>
      <xdr:rowOff>372619</xdr:rowOff>
    </xdr:to>
    <xdr:pic>
      <xdr:nvPicPr>
        <xdr:cNvPr id="10" name="Image 9">
          <a:extLst>
            <a:ext uri="{FF2B5EF4-FFF2-40B4-BE49-F238E27FC236}">
              <a16:creationId xmlns:a16="http://schemas.microsoft.com/office/drawing/2014/main" id="{00000000-0008-0000-0400-00000A000000}"/>
            </a:ext>
          </a:extLst>
        </xdr:cNvPr>
        <xdr:cNvPicPr>
          <a:picLocks noChangeAspect="1"/>
        </xdr:cNvPicPr>
      </xdr:nvPicPr>
      <xdr:blipFill rotWithShape="1">
        <a:blip xmlns:r="http://schemas.openxmlformats.org/officeDocument/2006/relationships" r:embed="rId7" cstate="print">
          <a:duotone>
            <a:schemeClr val="accent3">
              <a:shade val="45000"/>
              <a:satMod val="135000"/>
            </a:schemeClr>
            <a:prstClr val="white"/>
          </a:duotone>
          <a:extLst>
            <a:ext uri="{28A0092B-C50C-407E-A947-70E740481C1C}">
              <a14:useLocalDpi xmlns:a14="http://schemas.microsoft.com/office/drawing/2010/main" val="0"/>
            </a:ext>
          </a:extLst>
        </a:blip>
        <a:srcRect b="24935"/>
        <a:stretch/>
      </xdr:blipFill>
      <xdr:spPr>
        <a:xfrm>
          <a:off x="15736361" y="2190452"/>
          <a:ext cx="563742" cy="420054"/>
        </a:xfrm>
        <a:prstGeom prst="rect">
          <a:avLst/>
        </a:prstGeom>
      </xdr:spPr>
    </xdr:pic>
    <xdr:clientData/>
  </xdr:twoCellAnchor>
  <xdr:twoCellAnchor editAs="oneCell">
    <xdr:from>
      <xdr:col>24</xdr:col>
      <xdr:colOff>138907</xdr:colOff>
      <xdr:row>1</xdr:row>
      <xdr:rowOff>27781</xdr:rowOff>
    </xdr:from>
    <xdr:to>
      <xdr:col>25</xdr:col>
      <xdr:colOff>885033</xdr:colOff>
      <xdr:row>5</xdr:row>
      <xdr:rowOff>26723</xdr:rowOff>
    </xdr:to>
    <xdr:pic>
      <xdr:nvPicPr>
        <xdr:cNvPr id="11" name="Image 10">
          <a:extLst>
            <a:ext uri="{FF2B5EF4-FFF2-40B4-BE49-F238E27FC236}">
              <a16:creationId xmlns:a16="http://schemas.microsoft.com/office/drawing/2014/main" id="{00000000-0008-0000-0400-00000B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4965938" y="218281"/>
          <a:ext cx="1642269" cy="1114955"/>
        </a:xfrm>
        <a:prstGeom prst="rect">
          <a:avLst/>
        </a:prstGeom>
        <a:noFill/>
      </xdr:spPr>
    </xdr:pic>
    <xdr:clientData/>
  </xdr:twoCellAnchor>
  <xdr:twoCellAnchor>
    <xdr:from>
      <xdr:col>0</xdr:col>
      <xdr:colOff>3175</xdr:colOff>
      <xdr:row>0</xdr:row>
      <xdr:rowOff>3175</xdr:rowOff>
    </xdr:from>
    <xdr:to>
      <xdr:col>0</xdr:col>
      <xdr:colOff>66675</xdr:colOff>
      <xdr:row>0</xdr:row>
      <xdr:rowOff>173735</xdr:rowOff>
    </xdr:to>
    <xdr:sp macro="" textlink="">
      <xdr:nvSpPr>
        <xdr:cNvPr id="3" name="ZoneTexte 2">
          <a:extLst>
            <a:ext uri="{FF2B5EF4-FFF2-40B4-BE49-F238E27FC236}">
              <a16:creationId xmlns:a16="http://schemas.microsoft.com/office/drawing/2014/main" id="{73E2122C-F672-604E-230B-951A6D06F294}"/>
            </a:ext>
          </a:extLst>
        </xdr:cNvPr>
        <xdr:cNvSpPr txBox="1"/>
      </xdr:nvSpPr>
      <xdr:spPr>
        <a:xfrm>
          <a:off x="3175" y="3175"/>
          <a:ext cx="63500" cy="17056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fr-FR" sz="100">
              <a:latin typeface="ZWAdobeF"/>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225137</xdr:colOff>
      <xdr:row>1</xdr:row>
      <xdr:rowOff>138546</xdr:rowOff>
    </xdr:from>
    <xdr:to>
      <xdr:col>1</xdr:col>
      <xdr:colOff>1495714</xdr:colOff>
      <xdr:row>4</xdr:row>
      <xdr:rowOff>59052</xdr:rowOff>
    </xdr:to>
    <xdr:pic>
      <xdr:nvPicPr>
        <xdr:cNvPr id="2" name="Image 1" descr="LOGO VIZEA">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25137" y="322696"/>
          <a:ext cx="1670627" cy="822206"/>
        </a:xfrm>
        <a:prstGeom prst="rect">
          <a:avLst/>
        </a:prstGeom>
        <a:noFill/>
        <a:ln>
          <a:noFill/>
        </a:ln>
      </xdr:spPr>
    </xdr:pic>
    <xdr:clientData/>
  </xdr:twoCellAnchor>
  <xdr:twoCellAnchor editAs="oneCell">
    <xdr:from>
      <xdr:col>8</xdr:col>
      <xdr:colOff>600719</xdr:colOff>
      <xdr:row>7</xdr:row>
      <xdr:rowOff>230933</xdr:rowOff>
    </xdr:from>
    <xdr:to>
      <xdr:col>8</xdr:col>
      <xdr:colOff>1009196</xdr:colOff>
      <xdr:row>8</xdr:row>
      <xdr:rowOff>284706</xdr:rowOff>
    </xdr:to>
    <xdr:pic>
      <xdr:nvPicPr>
        <xdr:cNvPr id="5" name="Image 4">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2" cstate="print">
          <a:duotone>
            <a:schemeClr val="accent2">
              <a:shade val="45000"/>
              <a:satMod val="135000"/>
            </a:schemeClr>
            <a:prstClr val="white"/>
          </a:duotone>
          <a:extLst>
            <a:ext uri="{28A0092B-C50C-407E-A947-70E740481C1C}">
              <a14:useLocalDpi xmlns:a14="http://schemas.microsoft.com/office/drawing/2010/main" val="0"/>
            </a:ext>
          </a:extLst>
        </a:blip>
        <a:srcRect b="15361"/>
        <a:stretch/>
      </xdr:blipFill>
      <xdr:spPr>
        <a:xfrm>
          <a:off x="19698344" y="2212133"/>
          <a:ext cx="408477" cy="310948"/>
        </a:xfrm>
        <a:prstGeom prst="rect">
          <a:avLst/>
        </a:prstGeom>
      </xdr:spPr>
    </xdr:pic>
    <xdr:clientData/>
  </xdr:twoCellAnchor>
  <xdr:twoCellAnchor editAs="oneCell">
    <xdr:from>
      <xdr:col>6</xdr:col>
      <xdr:colOff>309669</xdr:colOff>
      <xdr:row>8</xdr:row>
      <xdr:rowOff>525</xdr:rowOff>
    </xdr:from>
    <xdr:to>
      <xdr:col>6</xdr:col>
      <xdr:colOff>647705</xdr:colOff>
      <xdr:row>8</xdr:row>
      <xdr:rowOff>285750</xdr:rowOff>
    </xdr:to>
    <xdr:pic>
      <xdr:nvPicPr>
        <xdr:cNvPr id="6" name="Image 5">
          <a:extLst>
            <a:ext uri="{FF2B5EF4-FFF2-40B4-BE49-F238E27FC236}">
              <a16:creationId xmlns:a16="http://schemas.microsoft.com/office/drawing/2014/main" id="{00000000-0008-0000-0500-000006000000}"/>
            </a:ext>
          </a:extLst>
        </xdr:cNvPr>
        <xdr:cNvPicPr>
          <a:picLocks noChangeAspect="1"/>
        </xdr:cNvPicPr>
      </xdr:nvPicPr>
      <xdr:blipFill rotWithShape="1">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rcRect b="19726"/>
        <a:stretch/>
      </xdr:blipFill>
      <xdr:spPr>
        <a:xfrm>
          <a:off x="16897823" y="2235237"/>
          <a:ext cx="338036" cy="285225"/>
        </a:xfrm>
        <a:prstGeom prst="rect">
          <a:avLst/>
        </a:prstGeom>
      </xdr:spPr>
    </xdr:pic>
    <xdr:clientData/>
  </xdr:twoCellAnchor>
  <xdr:twoCellAnchor editAs="oneCell">
    <xdr:from>
      <xdr:col>9</xdr:col>
      <xdr:colOff>414857</xdr:colOff>
      <xdr:row>7</xdr:row>
      <xdr:rowOff>209865</xdr:rowOff>
    </xdr:from>
    <xdr:to>
      <xdr:col>9</xdr:col>
      <xdr:colOff>788596</xdr:colOff>
      <xdr:row>8</xdr:row>
      <xdr:rowOff>255814</xdr:rowOff>
    </xdr:to>
    <xdr:pic>
      <xdr:nvPicPr>
        <xdr:cNvPr id="7" name="Image 6">
          <a:extLst>
            <a:ext uri="{FF2B5EF4-FFF2-40B4-BE49-F238E27FC236}">
              <a16:creationId xmlns:a16="http://schemas.microsoft.com/office/drawing/2014/main" id="{00000000-0008-0000-0500-000007000000}"/>
            </a:ext>
          </a:extLst>
        </xdr:cNvPr>
        <xdr:cNvPicPr>
          <a:picLocks noChangeAspect="1"/>
        </xdr:cNvPicPr>
      </xdr:nvPicPr>
      <xdr:blipFill rotWithShape="1">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rcRect b="23423"/>
        <a:stretch/>
      </xdr:blipFill>
      <xdr:spPr>
        <a:xfrm>
          <a:off x="21171737" y="2160585"/>
          <a:ext cx="380089" cy="297409"/>
        </a:xfrm>
        <a:prstGeom prst="rect">
          <a:avLst/>
        </a:prstGeom>
      </xdr:spPr>
    </xdr:pic>
    <xdr:clientData/>
  </xdr:twoCellAnchor>
  <xdr:twoCellAnchor editAs="oneCell">
    <xdr:from>
      <xdr:col>7</xdr:col>
      <xdr:colOff>354180</xdr:colOff>
      <xdr:row>7</xdr:row>
      <xdr:rowOff>76200</xdr:rowOff>
    </xdr:from>
    <xdr:to>
      <xdr:col>7</xdr:col>
      <xdr:colOff>799570</xdr:colOff>
      <xdr:row>8</xdr:row>
      <xdr:rowOff>221941</xdr:rowOff>
    </xdr:to>
    <xdr:pic>
      <xdr:nvPicPr>
        <xdr:cNvPr id="8" name="Image 7">
          <a:extLst>
            <a:ext uri="{FF2B5EF4-FFF2-40B4-BE49-F238E27FC236}">
              <a16:creationId xmlns:a16="http://schemas.microsoft.com/office/drawing/2014/main" id="{00000000-0008-0000-0500-000008000000}"/>
            </a:ext>
          </a:extLst>
        </xdr:cNvPr>
        <xdr:cNvPicPr>
          <a:picLocks noChangeAspect="1"/>
        </xdr:cNvPicPr>
      </xdr:nvPicPr>
      <xdr:blipFill rotWithShape="1">
        <a:blip xmlns:r="http://schemas.openxmlformats.org/officeDocument/2006/relationships" r:embed="rId5" cstate="print">
          <a:duotone>
            <a:schemeClr val="accent6">
              <a:shade val="45000"/>
              <a:satMod val="135000"/>
            </a:schemeClr>
            <a:prstClr val="white"/>
          </a:duotone>
          <a:extLst>
            <a:ext uri="{28A0092B-C50C-407E-A947-70E740481C1C}">
              <a14:useLocalDpi xmlns:a14="http://schemas.microsoft.com/office/drawing/2010/main" val="0"/>
            </a:ext>
          </a:extLst>
        </a:blip>
        <a:srcRect b="12304"/>
        <a:stretch/>
      </xdr:blipFill>
      <xdr:spPr>
        <a:xfrm>
          <a:off x="18703140" y="2026920"/>
          <a:ext cx="445390" cy="397201"/>
        </a:xfrm>
        <a:prstGeom prst="rect">
          <a:avLst/>
        </a:prstGeom>
      </xdr:spPr>
    </xdr:pic>
    <xdr:clientData/>
  </xdr:twoCellAnchor>
  <xdr:twoCellAnchor editAs="oneCell">
    <xdr:from>
      <xdr:col>4</xdr:col>
      <xdr:colOff>214087</xdr:colOff>
      <xdr:row>7</xdr:row>
      <xdr:rowOff>215716</xdr:rowOff>
    </xdr:from>
    <xdr:to>
      <xdr:col>4</xdr:col>
      <xdr:colOff>640702</xdr:colOff>
      <xdr:row>8</xdr:row>
      <xdr:rowOff>314828</xdr:rowOff>
    </xdr:to>
    <xdr:pic>
      <xdr:nvPicPr>
        <xdr:cNvPr id="9" name="Image 8">
          <a:extLst>
            <a:ext uri="{FF2B5EF4-FFF2-40B4-BE49-F238E27FC236}">
              <a16:creationId xmlns:a16="http://schemas.microsoft.com/office/drawing/2014/main" id="{00000000-0008-0000-0500-000009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b="18006"/>
        <a:stretch/>
      </xdr:blipFill>
      <xdr:spPr>
        <a:xfrm>
          <a:off x="14745427" y="2166436"/>
          <a:ext cx="426615" cy="350572"/>
        </a:xfrm>
        <a:prstGeom prst="rect">
          <a:avLst/>
        </a:prstGeom>
      </xdr:spPr>
    </xdr:pic>
    <xdr:clientData/>
  </xdr:twoCellAnchor>
  <xdr:twoCellAnchor editAs="oneCell">
    <xdr:from>
      <xdr:col>5</xdr:col>
      <xdr:colOff>452399</xdr:colOff>
      <xdr:row>7</xdr:row>
      <xdr:rowOff>190202</xdr:rowOff>
    </xdr:from>
    <xdr:to>
      <xdr:col>5</xdr:col>
      <xdr:colOff>1016141</xdr:colOff>
      <xdr:row>8</xdr:row>
      <xdr:rowOff>353813</xdr:rowOff>
    </xdr:to>
    <xdr:pic>
      <xdr:nvPicPr>
        <xdr:cNvPr id="10" name="Image 9">
          <a:extLst>
            <a:ext uri="{FF2B5EF4-FFF2-40B4-BE49-F238E27FC236}">
              <a16:creationId xmlns:a16="http://schemas.microsoft.com/office/drawing/2014/main" id="{00000000-0008-0000-0500-00000A000000}"/>
            </a:ext>
          </a:extLst>
        </xdr:cNvPr>
        <xdr:cNvPicPr>
          <a:picLocks noChangeAspect="1"/>
        </xdr:cNvPicPr>
      </xdr:nvPicPr>
      <xdr:blipFill rotWithShape="1">
        <a:blip xmlns:r="http://schemas.openxmlformats.org/officeDocument/2006/relationships" r:embed="rId7" cstate="print">
          <a:duotone>
            <a:schemeClr val="accent3">
              <a:shade val="45000"/>
              <a:satMod val="135000"/>
            </a:schemeClr>
            <a:prstClr val="white"/>
          </a:duotone>
          <a:extLst>
            <a:ext uri="{28A0092B-C50C-407E-A947-70E740481C1C}">
              <a14:useLocalDpi xmlns:a14="http://schemas.microsoft.com/office/drawing/2010/main" val="0"/>
            </a:ext>
          </a:extLst>
        </a:blip>
        <a:srcRect b="24935"/>
        <a:stretch/>
      </xdr:blipFill>
      <xdr:spPr>
        <a:xfrm>
          <a:off x="16256279" y="2140922"/>
          <a:ext cx="570092" cy="408721"/>
        </a:xfrm>
        <a:prstGeom prst="rect">
          <a:avLst/>
        </a:prstGeom>
      </xdr:spPr>
    </xdr:pic>
    <xdr:clientData/>
  </xdr:twoCellAnchor>
  <xdr:twoCellAnchor editAs="oneCell">
    <xdr:from>
      <xdr:col>24</xdr:col>
      <xdr:colOff>8505</xdr:colOff>
      <xdr:row>0</xdr:row>
      <xdr:rowOff>137773</xdr:rowOff>
    </xdr:from>
    <xdr:to>
      <xdr:col>25</xdr:col>
      <xdr:colOff>760981</xdr:colOff>
      <xdr:row>4</xdr:row>
      <xdr:rowOff>134561</xdr:rowOff>
    </xdr:to>
    <xdr:pic>
      <xdr:nvPicPr>
        <xdr:cNvPr id="11" name="Image 10">
          <a:extLst>
            <a:ext uri="{FF2B5EF4-FFF2-40B4-BE49-F238E27FC236}">
              <a16:creationId xmlns:a16="http://schemas.microsoft.com/office/drawing/2014/main" id="{00000000-0008-0000-0500-00000B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3405536" y="137773"/>
          <a:ext cx="1645445" cy="1104069"/>
        </a:xfrm>
        <a:prstGeom prst="rect">
          <a:avLst/>
        </a:prstGeom>
        <a:noFill/>
      </xdr:spPr>
    </xdr:pic>
    <xdr:clientData/>
  </xdr:twoCellAnchor>
  <xdr:twoCellAnchor>
    <xdr:from>
      <xdr:col>0</xdr:col>
      <xdr:colOff>3175</xdr:colOff>
      <xdr:row>0</xdr:row>
      <xdr:rowOff>3175</xdr:rowOff>
    </xdr:from>
    <xdr:to>
      <xdr:col>0</xdr:col>
      <xdr:colOff>66675</xdr:colOff>
      <xdr:row>0</xdr:row>
      <xdr:rowOff>173735</xdr:rowOff>
    </xdr:to>
    <xdr:sp macro="" textlink="">
      <xdr:nvSpPr>
        <xdr:cNvPr id="3" name="ZoneTexte 2">
          <a:extLst>
            <a:ext uri="{FF2B5EF4-FFF2-40B4-BE49-F238E27FC236}">
              <a16:creationId xmlns:a16="http://schemas.microsoft.com/office/drawing/2014/main" id="{80BC3DF9-B2E1-5DF8-8E4E-4EBC3F7C1CCB}"/>
            </a:ext>
          </a:extLst>
        </xdr:cNvPr>
        <xdr:cNvSpPr txBox="1"/>
      </xdr:nvSpPr>
      <xdr:spPr>
        <a:xfrm>
          <a:off x="3175" y="3175"/>
          <a:ext cx="63500" cy="17056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fr-FR" sz="100">
              <a:latin typeface="ZWAdobeF"/>
            </a:rPr>
            <a:t>X5A0T</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225137</xdr:colOff>
      <xdr:row>1</xdr:row>
      <xdr:rowOff>138546</xdr:rowOff>
    </xdr:from>
    <xdr:to>
      <xdr:col>1</xdr:col>
      <xdr:colOff>1492539</xdr:colOff>
      <xdr:row>4</xdr:row>
      <xdr:rowOff>59052</xdr:rowOff>
    </xdr:to>
    <xdr:pic>
      <xdr:nvPicPr>
        <xdr:cNvPr id="2" name="Image 1" descr="LOGO VIZEA">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25137" y="322696"/>
          <a:ext cx="1670627" cy="822206"/>
        </a:xfrm>
        <a:prstGeom prst="rect">
          <a:avLst/>
        </a:prstGeom>
        <a:noFill/>
        <a:ln>
          <a:noFill/>
        </a:ln>
      </xdr:spPr>
    </xdr:pic>
    <xdr:clientData/>
  </xdr:twoCellAnchor>
  <xdr:twoCellAnchor editAs="oneCell">
    <xdr:from>
      <xdr:col>8</xdr:col>
      <xdr:colOff>905519</xdr:colOff>
      <xdr:row>7</xdr:row>
      <xdr:rowOff>154733</xdr:rowOff>
    </xdr:from>
    <xdr:to>
      <xdr:col>8</xdr:col>
      <xdr:colOff>1313996</xdr:colOff>
      <xdr:row>8</xdr:row>
      <xdr:rowOff>208506</xdr:rowOff>
    </xdr:to>
    <xdr:pic>
      <xdr:nvPicPr>
        <xdr:cNvPr id="5" name="Image 4">
          <a:extLst>
            <a:ext uri="{FF2B5EF4-FFF2-40B4-BE49-F238E27FC236}">
              <a16:creationId xmlns:a16="http://schemas.microsoft.com/office/drawing/2014/main" id="{00000000-0008-0000-0600-000005000000}"/>
            </a:ext>
          </a:extLst>
        </xdr:cNvPr>
        <xdr:cNvPicPr>
          <a:picLocks noChangeAspect="1"/>
        </xdr:cNvPicPr>
      </xdr:nvPicPr>
      <xdr:blipFill rotWithShape="1">
        <a:blip xmlns:r="http://schemas.openxmlformats.org/officeDocument/2006/relationships" r:embed="rId2" cstate="print">
          <a:duotone>
            <a:schemeClr val="accent2">
              <a:shade val="45000"/>
              <a:satMod val="135000"/>
            </a:schemeClr>
            <a:prstClr val="white"/>
          </a:duotone>
          <a:extLst>
            <a:ext uri="{28A0092B-C50C-407E-A947-70E740481C1C}">
              <a14:useLocalDpi xmlns:a14="http://schemas.microsoft.com/office/drawing/2010/main" val="0"/>
            </a:ext>
          </a:extLst>
        </a:blip>
        <a:srcRect b="15361"/>
        <a:stretch/>
      </xdr:blipFill>
      <xdr:spPr>
        <a:xfrm>
          <a:off x="19965044" y="2135933"/>
          <a:ext cx="408477" cy="310948"/>
        </a:xfrm>
        <a:prstGeom prst="rect">
          <a:avLst/>
        </a:prstGeom>
      </xdr:spPr>
    </xdr:pic>
    <xdr:clientData/>
  </xdr:twoCellAnchor>
  <xdr:twoCellAnchor editAs="oneCell">
    <xdr:from>
      <xdr:col>6</xdr:col>
      <xdr:colOff>309669</xdr:colOff>
      <xdr:row>7</xdr:row>
      <xdr:rowOff>256969</xdr:rowOff>
    </xdr:from>
    <xdr:to>
      <xdr:col>6</xdr:col>
      <xdr:colOff>647705</xdr:colOff>
      <xdr:row>8</xdr:row>
      <xdr:rowOff>304800</xdr:rowOff>
    </xdr:to>
    <xdr:pic>
      <xdr:nvPicPr>
        <xdr:cNvPr id="6" name="Image 5">
          <a:extLst>
            <a:ext uri="{FF2B5EF4-FFF2-40B4-BE49-F238E27FC236}">
              <a16:creationId xmlns:a16="http://schemas.microsoft.com/office/drawing/2014/main" id="{00000000-0008-0000-0600-000006000000}"/>
            </a:ext>
          </a:extLst>
        </xdr:cNvPr>
        <xdr:cNvPicPr>
          <a:picLocks noChangeAspect="1"/>
        </xdr:cNvPicPr>
      </xdr:nvPicPr>
      <xdr:blipFill rotWithShape="1">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rcRect b="19726"/>
        <a:stretch/>
      </xdr:blipFill>
      <xdr:spPr>
        <a:xfrm>
          <a:off x="16892694" y="2238169"/>
          <a:ext cx="338036" cy="305006"/>
        </a:xfrm>
        <a:prstGeom prst="rect">
          <a:avLst/>
        </a:prstGeom>
      </xdr:spPr>
    </xdr:pic>
    <xdr:clientData/>
  </xdr:twoCellAnchor>
  <xdr:twoCellAnchor editAs="oneCell">
    <xdr:from>
      <xdr:col>9</xdr:col>
      <xdr:colOff>472007</xdr:colOff>
      <xdr:row>7</xdr:row>
      <xdr:rowOff>200340</xdr:rowOff>
    </xdr:from>
    <xdr:to>
      <xdr:col>9</xdr:col>
      <xdr:colOff>848921</xdr:colOff>
      <xdr:row>8</xdr:row>
      <xdr:rowOff>249464</xdr:rowOff>
    </xdr:to>
    <xdr:pic>
      <xdr:nvPicPr>
        <xdr:cNvPr id="7" name="Image 6">
          <a:extLst>
            <a:ext uri="{FF2B5EF4-FFF2-40B4-BE49-F238E27FC236}">
              <a16:creationId xmlns:a16="http://schemas.microsoft.com/office/drawing/2014/main" id="{00000000-0008-0000-0600-000007000000}"/>
            </a:ext>
          </a:extLst>
        </xdr:cNvPr>
        <xdr:cNvPicPr>
          <a:picLocks noChangeAspect="1"/>
        </xdr:cNvPicPr>
      </xdr:nvPicPr>
      <xdr:blipFill rotWithShape="1">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rcRect b="23423"/>
        <a:stretch/>
      </xdr:blipFill>
      <xdr:spPr>
        <a:xfrm>
          <a:off x="21760382" y="2181540"/>
          <a:ext cx="376914" cy="306299"/>
        </a:xfrm>
        <a:prstGeom prst="rect">
          <a:avLst/>
        </a:prstGeom>
      </xdr:spPr>
    </xdr:pic>
    <xdr:clientData/>
  </xdr:twoCellAnchor>
  <xdr:twoCellAnchor editAs="oneCell">
    <xdr:from>
      <xdr:col>7</xdr:col>
      <xdr:colOff>354180</xdr:colOff>
      <xdr:row>7</xdr:row>
      <xdr:rowOff>76200</xdr:rowOff>
    </xdr:from>
    <xdr:to>
      <xdr:col>7</xdr:col>
      <xdr:colOff>799570</xdr:colOff>
      <xdr:row>8</xdr:row>
      <xdr:rowOff>218766</xdr:rowOff>
    </xdr:to>
    <xdr:pic>
      <xdr:nvPicPr>
        <xdr:cNvPr id="8" name="Image 7">
          <a:extLst>
            <a:ext uri="{FF2B5EF4-FFF2-40B4-BE49-F238E27FC236}">
              <a16:creationId xmlns:a16="http://schemas.microsoft.com/office/drawing/2014/main" id="{00000000-0008-0000-0600-000008000000}"/>
            </a:ext>
          </a:extLst>
        </xdr:cNvPr>
        <xdr:cNvPicPr>
          <a:picLocks noChangeAspect="1"/>
        </xdr:cNvPicPr>
      </xdr:nvPicPr>
      <xdr:blipFill rotWithShape="1">
        <a:blip xmlns:r="http://schemas.openxmlformats.org/officeDocument/2006/relationships" r:embed="rId5" cstate="print">
          <a:duotone>
            <a:schemeClr val="accent6">
              <a:shade val="45000"/>
              <a:satMod val="135000"/>
            </a:schemeClr>
            <a:prstClr val="white"/>
          </a:duotone>
          <a:extLst>
            <a:ext uri="{28A0092B-C50C-407E-A947-70E740481C1C}">
              <a14:useLocalDpi xmlns:a14="http://schemas.microsoft.com/office/drawing/2010/main" val="0"/>
            </a:ext>
          </a:extLst>
        </a:blip>
        <a:srcRect b="12304"/>
        <a:stretch/>
      </xdr:blipFill>
      <xdr:spPr>
        <a:xfrm>
          <a:off x="18703140" y="2026920"/>
          <a:ext cx="445390" cy="397201"/>
        </a:xfrm>
        <a:prstGeom prst="rect">
          <a:avLst/>
        </a:prstGeom>
      </xdr:spPr>
    </xdr:pic>
    <xdr:clientData/>
  </xdr:twoCellAnchor>
  <xdr:twoCellAnchor editAs="oneCell">
    <xdr:from>
      <xdr:col>4</xdr:col>
      <xdr:colOff>309337</xdr:colOff>
      <xdr:row>7</xdr:row>
      <xdr:rowOff>215716</xdr:rowOff>
    </xdr:from>
    <xdr:to>
      <xdr:col>4</xdr:col>
      <xdr:colOff>732777</xdr:colOff>
      <xdr:row>8</xdr:row>
      <xdr:rowOff>311653</xdr:rowOff>
    </xdr:to>
    <xdr:pic>
      <xdr:nvPicPr>
        <xdr:cNvPr id="9" name="Image 8">
          <a:extLst>
            <a:ext uri="{FF2B5EF4-FFF2-40B4-BE49-F238E27FC236}">
              <a16:creationId xmlns:a16="http://schemas.microsoft.com/office/drawing/2014/main" id="{00000000-0008-0000-0600-000009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b="18006"/>
        <a:stretch/>
      </xdr:blipFill>
      <xdr:spPr>
        <a:xfrm>
          <a:off x="14415862" y="2196916"/>
          <a:ext cx="423440" cy="353112"/>
        </a:xfrm>
        <a:prstGeom prst="rect">
          <a:avLst/>
        </a:prstGeom>
      </xdr:spPr>
    </xdr:pic>
    <xdr:clientData/>
  </xdr:twoCellAnchor>
  <xdr:twoCellAnchor editAs="oneCell">
    <xdr:from>
      <xdr:col>5</xdr:col>
      <xdr:colOff>347624</xdr:colOff>
      <xdr:row>7</xdr:row>
      <xdr:rowOff>180677</xdr:rowOff>
    </xdr:from>
    <xdr:to>
      <xdr:col>5</xdr:col>
      <xdr:colOff>914541</xdr:colOff>
      <xdr:row>8</xdr:row>
      <xdr:rowOff>341113</xdr:rowOff>
    </xdr:to>
    <xdr:pic>
      <xdr:nvPicPr>
        <xdr:cNvPr id="10" name="Image 9">
          <a:extLst>
            <a:ext uri="{FF2B5EF4-FFF2-40B4-BE49-F238E27FC236}">
              <a16:creationId xmlns:a16="http://schemas.microsoft.com/office/drawing/2014/main" id="{00000000-0008-0000-0600-00000A000000}"/>
            </a:ext>
          </a:extLst>
        </xdr:cNvPr>
        <xdr:cNvPicPr>
          <a:picLocks noChangeAspect="1"/>
        </xdr:cNvPicPr>
      </xdr:nvPicPr>
      <xdr:blipFill rotWithShape="1">
        <a:blip xmlns:r="http://schemas.openxmlformats.org/officeDocument/2006/relationships" r:embed="rId7" cstate="print">
          <a:duotone>
            <a:schemeClr val="accent3">
              <a:shade val="45000"/>
              <a:satMod val="135000"/>
            </a:schemeClr>
            <a:prstClr val="white"/>
          </a:duotone>
          <a:extLst>
            <a:ext uri="{28A0092B-C50C-407E-A947-70E740481C1C}">
              <a14:useLocalDpi xmlns:a14="http://schemas.microsoft.com/office/drawing/2010/main" val="0"/>
            </a:ext>
          </a:extLst>
        </a:blip>
        <a:srcRect b="24935"/>
        <a:stretch/>
      </xdr:blipFill>
      <xdr:spPr>
        <a:xfrm>
          <a:off x="15692399" y="2161877"/>
          <a:ext cx="566917" cy="417611"/>
        </a:xfrm>
        <a:prstGeom prst="rect">
          <a:avLst/>
        </a:prstGeom>
      </xdr:spPr>
    </xdr:pic>
    <xdr:clientData/>
  </xdr:twoCellAnchor>
  <xdr:twoCellAnchor editAs="oneCell">
    <xdr:from>
      <xdr:col>23</xdr:col>
      <xdr:colOff>765969</xdr:colOff>
      <xdr:row>1</xdr:row>
      <xdr:rowOff>23812</xdr:rowOff>
    </xdr:from>
    <xdr:to>
      <xdr:col>25</xdr:col>
      <xdr:colOff>694533</xdr:colOff>
      <xdr:row>5</xdr:row>
      <xdr:rowOff>16404</xdr:rowOff>
    </xdr:to>
    <xdr:pic>
      <xdr:nvPicPr>
        <xdr:cNvPr id="11" name="Image 10">
          <a:extLst>
            <a:ext uri="{FF2B5EF4-FFF2-40B4-BE49-F238E27FC236}">
              <a16:creationId xmlns:a16="http://schemas.microsoft.com/office/drawing/2014/main" id="{00000000-0008-0000-0600-00000B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2628344" y="214312"/>
          <a:ext cx="1666877" cy="1111780"/>
        </a:xfrm>
        <a:prstGeom prst="rect">
          <a:avLst/>
        </a:prstGeom>
        <a:noFill/>
      </xdr:spPr>
    </xdr:pic>
    <xdr:clientData/>
  </xdr:twoCellAnchor>
  <xdr:twoCellAnchor>
    <xdr:from>
      <xdr:col>0</xdr:col>
      <xdr:colOff>3175</xdr:colOff>
      <xdr:row>0</xdr:row>
      <xdr:rowOff>3175</xdr:rowOff>
    </xdr:from>
    <xdr:to>
      <xdr:col>0</xdr:col>
      <xdr:colOff>66675</xdr:colOff>
      <xdr:row>0</xdr:row>
      <xdr:rowOff>173735</xdr:rowOff>
    </xdr:to>
    <xdr:sp macro="" textlink="">
      <xdr:nvSpPr>
        <xdr:cNvPr id="3" name="ZoneTexte 2">
          <a:extLst>
            <a:ext uri="{FF2B5EF4-FFF2-40B4-BE49-F238E27FC236}">
              <a16:creationId xmlns:a16="http://schemas.microsoft.com/office/drawing/2014/main" id="{F32DBFD1-5F79-A699-701F-272B0156BD15}"/>
            </a:ext>
          </a:extLst>
        </xdr:cNvPr>
        <xdr:cNvSpPr txBox="1"/>
      </xdr:nvSpPr>
      <xdr:spPr>
        <a:xfrm>
          <a:off x="3175" y="3175"/>
          <a:ext cx="63500" cy="17056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fr-FR" sz="100">
              <a:latin typeface="ZWAdobeF"/>
            </a:rPr>
            <a:t>X6A0T</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225137</xdr:colOff>
      <xdr:row>1</xdr:row>
      <xdr:rowOff>138546</xdr:rowOff>
    </xdr:from>
    <xdr:to>
      <xdr:col>1</xdr:col>
      <xdr:colOff>1492539</xdr:colOff>
      <xdr:row>4</xdr:row>
      <xdr:rowOff>59052</xdr:rowOff>
    </xdr:to>
    <xdr:pic>
      <xdr:nvPicPr>
        <xdr:cNvPr id="2" name="Image 1" descr="LOGO VIZEA">
          <a:extLst>
            <a:ext uri="{FF2B5EF4-FFF2-40B4-BE49-F238E27FC236}">
              <a16:creationId xmlns:a16="http://schemas.microsoft.com/office/drawing/2014/main" id="{11647DD9-F6A6-49C0-BAAE-B5F53078941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25137" y="329046"/>
          <a:ext cx="1648402" cy="834906"/>
        </a:xfrm>
        <a:prstGeom prst="rect">
          <a:avLst/>
        </a:prstGeom>
        <a:noFill/>
        <a:ln>
          <a:noFill/>
        </a:ln>
      </xdr:spPr>
    </xdr:pic>
    <xdr:clientData/>
  </xdr:twoCellAnchor>
  <xdr:twoCellAnchor editAs="oneCell">
    <xdr:from>
      <xdr:col>10</xdr:col>
      <xdr:colOff>765969</xdr:colOff>
      <xdr:row>1</xdr:row>
      <xdr:rowOff>23812</xdr:rowOff>
    </xdr:from>
    <xdr:to>
      <xdr:col>12</xdr:col>
      <xdr:colOff>694533</xdr:colOff>
      <xdr:row>5</xdr:row>
      <xdr:rowOff>16404</xdr:rowOff>
    </xdr:to>
    <xdr:pic>
      <xdr:nvPicPr>
        <xdr:cNvPr id="9" name="Image 8">
          <a:extLst>
            <a:ext uri="{FF2B5EF4-FFF2-40B4-BE49-F238E27FC236}">
              <a16:creationId xmlns:a16="http://schemas.microsoft.com/office/drawing/2014/main" id="{20B38EEE-42F5-404D-9BBD-D52D6DC743E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771344" y="214312"/>
          <a:ext cx="1662114" cy="1107017"/>
        </a:xfrm>
        <a:prstGeom prst="rect">
          <a:avLst/>
        </a:prstGeom>
        <a:noFill/>
      </xdr:spPr>
    </xdr:pic>
    <xdr:clientData/>
  </xdr:twoCellAnchor>
  <xdr:twoCellAnchor>
    <xdr:from>
      <xdr:col>0</xdr:col>
      <xdr:colOff>3175</xdr:colOff>
      <xdr:row>0</xdr:row>
      <xdr:rowOff>3175</xdr:rowOff>
    </xdr:from>
    <xdr:to>
      <xdr:col>0</xdr:col>
      <xdr:colOff>66675</xdr:colOff>
      <xdr:row>0</xdr:row>
      <xdr:rowOff>173735</xdr:rowOff>
    </xdr:to>
    <xdr:sp macro="" textlink="">
      <xdr:nvSpPr>
        <xdr:cNvPr id="3" name="ZoneTexte 2">
          <a:extLst>
            <a:ext uri="{FF2B5EF4-FFF2-40B4-BE49-F238E27FC236}">
              <a16:creationId xmlns:a16="http://schemas.microsoft.com/office/drawing/2014/main" id="{157EA860-A931-42FE-AD7B-3F6658F8366C}"/>
            </a:ext>
          </a:extLst>
        </xdr:cNvPr>
        <xdr:cNvSpPr txBox="1"/>
      </xdr:nvSpPr>
      <xdr:spPr>
        <a:xfrm>
          <a:off x="3175" y="3175"/>
          <a:ext cx="63500" cy="17056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fr-FR" sz="100">
              <a:latin typeface="ZWAdobeF"/>
            </a:rPr>
            <a:t>X7A0T</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225137</xdr:colOff>
      <xdr:row>1</xdr:row>
      <xdr:rowOff>138546</xdr:rowOff>
    </xdr:from>
    <xdr:to>
      <xdr:col>1</xdr:col>
      <xdr:colOff>1495714</xdr:colOff>
      <xdr:row>4</xdr:row>
      <xdr:rowOff>59052</xdr:rowOff>
    </xdr:to>
    <xdr:pic>
      <xdr:nvPicPr>
        <xdr:cNvPr id="2" name="Image 1" descr="LOGO VIZEA">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25137" y="329046"/>
          <a:ext cx="1654752" cy="834906"/>
        </a:xfrm>
        <a:prstGeom prst="rect">
          <a:avLst/>
        </a:prstGeom>
        <a:noFill/>
        <a:ln>
          <a:noFill/>
        </a:ln>
      </xdr:spPr>
    </xdr:pic>
    <xdr:clientData/>
  </xdr:twoCellAnchor>
  <xdr:twoCellAnchor>
    <xdr:from>
      <xdr:col>1</xdr:col>
      <xdr:colOff>301625</xdr:colOff>
      <xdr:row>10</xdr:row>
      <xdr:rowOff>174625</xdr:rowOff>
    </xdr:from>
    <xdr:to>
      <xdr:col>3</xdr:col>
      <xdr:colOff>6207125</xdr:colOff>
      <xdr:row>17</xdr:row>
      <xdr:rowOff>365125</xdr:rowOff>
    </xdr:to>
    <xdr:graphicFrame macro="">
      <xdr:nvGraphicFramePr>
        <xdr:cNvPr id="4" name="Graphique 1">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1055686</xdr:colOff>
      <xdr:row>10</xdr:row>
      <xdr:rowOff>342899</xdr:rowOff>
    </xdr:from>
    <xdr:to>
      <xdr:col>10</xdr:col>
      <xdr:colOff>1381125</xdr:colOff>
      <xdr:row>17</xdr:row>
      <xdr:rowOff>412750</xdr:rowOff>
    </xdr:to>
    <xdr:graphicFrame macro="">
      <xdr:nvGraphicFramePr>
        <xdr:cNvPr id="5" name="Graphique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26</xdr:row>
      <xdr:rowOff>0</xdr:rowOff>
    </xdr:from>
    <xdr:to>
      <xdr:col>3</xdr:col>
      <xdr:colOff>4086225</xdr:colOff>
      <xdr:row>33</xdr:row>
      <xdr:rowOff>190500</xdr:rowOff>
    </xdr:to>
    <xdr:graphicFrame macro="">
      <xdr:nvGraphicFramePr>
        <xdr:cNvPr id="6" name="Graphique 1">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754061</xdr:colOff>
      <xdr:row>26</xdr:row>
      <xdr:rowOff>168274</xdr:rowOff>
    </xdr:from>
    <xdr:to>
      <xdr:col>10</xdr:col>
      <xdr:colOff>1079500</xdr:colOff>
      <xdr:row>33</xdr:row>
      <xdr:rowOff>238125</xdr:rowOff>
    </xdr:to>
    <xdr:graphicFrame macro="">
      <xdr:nvGraphicFramePr>
        <xdr:cNvPr id="7" name="Graphique 6">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42</xdr:row>
      <xdr:rowOff>152400</xdr:rowOff>
    </xdr:from>
    <xdr:to>
      <xdr:col>3</xdr:col>
      <xdr:colOff>4086225</xdr:colOff>
      <xdr:row>49</xdr:row>
      <xdr:rowOff>342900</xdr:rowOff>
    </xdr:to>
    <xdr:graphicFrame macro="">
      <xdr:nvGraphicFramePr>
        <xdr:cNvPr id="8" name="Graphique 1">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494981</xdr:colOff>
      <xdr:row>42</xdr:row>
      <xdr:rowOff>229234</xdr:rowOff>
    </xdr:from>
    <xdr:to>
      <xdr:col>11</xdr:col>
      <xdr:colOff>652780</xdr:colOff>
      <xdr:row>49</xdr:row>
      <xdr:rowOff>299085</xdr:rowOff>
    </xdr:to>
    <xdr:graphicFrame macro="">
      <xdr:nvGraphicFramePr>
        <xdr:cNvPr id="9" name="Graphique 8">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50</xdr:row>
      <xdr:rowOff>0</xdr:rowOff>
    </xdr:from>
    <xdr:to>
      <xdr:col>3</xdr:col>
      <xdr:colOff>4086225</xdr:colOff>
      <xdr:row>57</xdr:row>
      <xdr:rowOff>190500</xdr:rowOff>
    </xdr:to>
    <xdr:graphicFrame macro="">
      <xdr:nvGraphicFramePr>
        <xdr:cNvPr id="12" name="Graphique 1">
          <a:extLst>
            <a:ext uri="{FF2B5EF4-FFF2-40B4-BE49-F238E27FC236}">
              <a16:creationId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228600</xdr:colOff>
      <xdr:row>57</xdr:row>
      <xdr:rowOff>548640</xdr:rowOff>
    </xdr:from>
    <xdr:to>
      <xdr:col>3</xdr:col>
      <xdr:colOff>3903345</xdr:colOff>
      <xdr:row>65</xdr:row>
      <xdr:rowOff>99060</xdr:rowOff>
    </xdr:to>
    <xdr:graphicFrame macro="">
      <xdr:nvGraphicFramePr>
        <xdr:cNvPr id="13" name="Graphique 1">
          <a:extLst>
            <a:ext uri="{FF2B5EF4-FFF2-40B4-BE49-F238E27FC236}">
              <a16:creationId xmlns:a16="http://schemas.microsoft.com/office/drawing/2014/main" id="{00000000-0008-0000-07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3911600</xdr:colOff>
      <xdr:row>57</xdr:row>
      <xdr:rowOff>248920</xdr:rowOff>
    </xdr:from>
    <xdr:to>
      <xdr:col>9</xdr:col>
      <xdr:colOff>1231265</xdr:colOff>
      <xdr:row>64</xdr:row>
      <xdr:rowOff>439420</xdr:rowOff>
    </xdr:to>
    <xdr:graphicFrame macro="">
      <xdr:nvGraphicFramePr>
        <xdr:cNvPr id="14" name="Graphique 1">
          <a:extLst>
            <a:ext uri="{FF2B5EF4-FFF2-40B4-BE49-F238E27FC236}">
              <a16:creationId xmlns:a16="http://schemas.microsoft.com/office/drawing/2014/main" id="{00000000-0008-0000-0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66</xdr:row>
      <xdr:rowOff>0</xdr:rowOff>
    </xdr:from>
    <xdr:to>
      <xdr:col>3</xdr:col>
      <xdr:colOff>4086225</xdr:colOff>
      <xdr:row>73</xdr:row>
      <xdr:rowOff>190500</xdr:rowOff>
    </xdr:to>
    <xdr:graphicFrame macro="">
      <xdr:nvGraphicFramePr>
        <xdr:cNvPr id="15" name="Graphique 1">
          <a:extLst>
            <a:ext uri="{FF2B5EF4-FFF2-40B4-BE49-F238E27FC236}">
              <a16:creationId xmlns:a16="http://schemas.microsoft.com/office/drawing/2014/main" id="{00000000-0008-0000-07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3230880</xdr:colOff>
      <xdr:row>65</xdr:row>
      <xdr:rowOff>426720</xdr:rowOff>
    </xdr:from>
    <xdr:to>
      <xdr:col>9</xdr:col>
      <xdr:colOff>550545</xdr:colOff>
      <xdr:row>72</xdr:row>
      <xdr:rowOff>617220</xdr:rowOff>
    </xdr:to>
    <xdr:graphicFrame macro="">
      <xdr:nvGraphicFramePr>
        <xdr:cNvPr id="17" name="Graphique 1">
          <a:extLst>
            <a:ext uri="{FF2B5EF4-FFF2-40B4-BE49-F238E27FC236}">
              <a16:creationId xmlns:a16="http://schemas.microsoft.com/office/drawing/2014/main" id="{00000000-0008-0000-07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1547813</xdr:colOff>
      <xdr:row>1</xdr:row>
      <xdr:rowOff>47624</xdr:rowOff>
    </xdr:from>
    <xdr:to>
      <xdr:col>1</xdr:col>
      <xdr:colOff>3590017</xdr:colOff>
      <xdr:row>6</xdr:row>
      <xdr:rowOff>97389</xdr:rowOff>
    </xdr:to>
    <xdr:pic>
      <xdr:nvPicPr>
        <xdr:cNvPr id="18" name="Image 17">
          <a:extLst>
            <a:ext uri="{FF2B5EF4-FFF2-40B4-BE49-F238E27FC236}">
              <a16:creationId xmlns:a16="http://schemas.microsoft.com/office/drawing/2014/main" id="{00000000-0008-0000-0700-000012000000}"/>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928813" y="238124"/>
          <a:ext cx="2042204" cy="1335640"/>
        </a:xfrm>
        <a:prstGeom prst="rect">
          <a:avLst/>
        </a:prstGeom>
        <a:noFill/>
      </xdr:spPr>
    </xdr:pic>
    <xdr:clientData/>
  </xdr:twoCellAnchor>
  <xdr:twoCellAnchor>
    <xdr:from>
      <xdr:col>0</xdr:col>
      <xdr:colOff>3175</xdr:colOff>
      <xdr:row>0</xdr:row>
      <xdr:rowOff>3175</xdr:rowOff>
    </xdr:from>
    <xdr:to>
      <xdr:col>0</xdr:col>
      <xdr:colOff>66675</xdr:colOff>
      <xdr:row>0</xdr:row>
      <xdr:rowOff>173735</xdr:rowOff>
    </xdr:to>
    <xdr:sp macro="" textlink="">
      <xdr:nvSpPr>
        <xdr:cNvPr id="3" name="ZoneTexte 2">
          <a:extLst>
            <a:ext uri="{FF2B5EF4-FFF2-40B4-BE49-F238E27FC236}">
              <a16:creationId xmlns:a16="http://schemas.microsoft.com/office/drawing/2014/main" id="{41AD2574-A213-D9C4-4626-0AEAF8DAF413}"/>
            </a:ext>
          </a:extLst>
        </xdr:cNvPr>
        <xdr:cNvSpPr txBox="1"/>
      </xdr:nvSpPr>
      <xdr:spPr>
        <a:xfrm>
          <a:off x="3175" y="3175"/>
          <a:ext cx="63500" cy="17056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fr-FR" sz="100">
              <a:latin typeface="ZWAdobeF"/>
            </a:rPr>
            <a:t>X8A0T</a:t>
          </a:r>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AB1F3E4-AE48-446A-AB8D-E126DFD6E39F}" name="recap_habitat" displayName="recap_habitat" ref="P50:Z52" totalsRowShown="0" headerRowDxfId="250" dataDxfId="248" headerRowBorderDxfId="249" tableBorderDxfId="247" totalsRowBorderDxfId="246">
  <autoFilter ref="P50:Z52" xr:uid="{052334B2-E7FF-48D1-862A-5EB4968E6B27}"/>
  <tableColumns count="11">
    <tableColumn id="1" xr3:uid="{0A5DE876-A3C3-450A-A515-B51730529E62}" name="Recap habitat" dataDxfId="245"/>
    <tableColumn id="2" xr3:uid="{CADCECEB-F72E-4105-BBE6-400E753B9DB9}" name="Unité" dataDxfId="244"/>
    <tableColumn id="4" xr3:uid="{F8910EF7-F4A9-4140-A039-F6C9B2E0F147}" name="2022*" dataDxfId="243">
      <calculatedColumnFormula>(#REF!*#REF!)+(#REF!*#REF!)+(R29*$AF$17)+(#REF!*#REF!)</calculatedColumnFormula>
    </tableColumn>
    <tableColumn id="5" xr3:uid="{281F79AC-27D6-4852-8308-761CD6C9EBA2}" name="2023*" dataDxfId="242"/>
    <tableColumn id="6" xr3:uid="{1CCA2AAE-0104-4D91-87D0-AF50151BC97E}" name="2024*" dataDxfId="241"/>
    <tableColumn id="7" xr3:uid="{2DDFF62C-B589-4F43-99DA-C00A926753A0}" name="2025*" dataDxfId="240"/>
    <tableColumn id="8" xr3:uid="{21AA608E-1338-460D-B31E-B4435D80F0DA}" name="2026*" dataDxfId="239"/>
    <tableColumn id="9" xr3:uid="{6B2A6E79-3A17-40E8-8859-E7A68F4286A1}" name="2027*" dataDxfId="238"/>
    <tableColumn id="10" xr3:uid="{8F0CEA8A-0252-4816-BFB2-8F55C1A3F1E8}" name="2028*" dataDxfId="237"/>
    <tableColumn id="11" xr3:uid="{2B37AC6D-5227-429D-B086-7D598432456A}" name="2029*" dataDxfId="236"/>
    <tableColumn id="12" xr3:uid="{A9597B65-79CE-4790-8E01-B5C7A5573F62}" name="2030*" dataDxfId="23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FECAABC-81AF-4E77-B74A-58BB82FF601E}" name="recap_mobilite" displayName="recap_mobilite" ref="P54:Z56" totalsRowShown="0" headerRowDxfId="234" dataDxfId="232" headerRowBorderDxfId="233" tableBorderDxfId="231" totalsRowBorderDxfId="230" headerRowCellStyle="Milliers">
  <autoFilter ref="P54:Z56" xr:uid="{2503881A-4F37-4F7C-BE70-CA6F197C1A5F}"/>
  <tableColumns count="11">
    <tableColumn id="1" xr3:uid="{4AC03BCD-4B35-4E61-ACA5-6352E75EFF70}" name="Recap Mobilité" dataDxfId="229"/>
    <tableColumn id="2" xr3:uid="{0916DB4E-5583-4FFD-9274-D2BC3429FB1F}" name="Unité" dataDxfId="228"/>
    <tableColumn id="4" xr3:uid="{02AD319D-730D-4FD4-8D8C-27312DB96EE8}" name="2022*" dataDxfId="227">
      <calculatedColumnFormula>(R24*$AV$25)+(R30*$AV$31)+(#REF!*$AV$36)+(#REF!*#REF!)+(#REF!*#REF!)+(#REF!*#REF!)+$AV$50+$AV$51</calculatedColumnFormula>
    </tableColumn>
    <tableColumn id="5" xr3:uid="{825C0234-13F3-43E1-80B7-B8C7E935200F}" name="2023*" dataDxfId="226">
      <calculatedColumnFormula>(S24*$AV$25)+(S30*$AV$31)+(#REF!*$AV$36)+(#REF!*#REF!)+(#REF!*#REF!)+(#REF!*#REF!)+$AV$50+$AV$51</calculatedColumnFormula>
    </tableColumn>
    <tableColumn id="6" xr3:uid="{794B0FB2-F79D-4FAC-BBF4-97B5401E8976}" name="2024*" dataDxfId="225">
      <calculatedColumnFormula>(T24*$AV$25)+(T30*$AV$31)+(#REF!*$AV$36)+(#REF!*#REF!)+(#REF!*#REF!)+(#REF!*#REF!)+$AV$50+$AV$51</calculatedColumnFormula>
    </tableColumn>
    <tableColumn id="7" xr3:uid="{839CFC6D-AF70-4A84-8C2A-A9C1BCF06CEB}" name="2025*" dataDxfId="224">
      <calculatedColumnFormula>(U24*$AV$25)+(U30*$AV$31)+(#REF!*$AV$36)+(#REF!*#REF!)+(#REF!*#REF!)+(#REF!*#REF!)+$AV$50+$AV$51</calculatedColumnFormula>
    </tableColumn>
    <tableColumn id="8" xr3:uid="{5F2D1B34-B996-4EAE-BA26-E306935B0457}" name="2026*" dataDxfId="223">
      <calculatedColumnFormula>(V24*$AV$25)+(V30*$AV$31)+(#REF!*$AV$36)+(#REF!*#REF!)+(#REF!*#REF!)+(#REF!*#REF!)+$AV$50+$AV$51</calculatedColumnFormula>
    </tableColumn>
    <tableColumn id="9" xr3:uid="{EFF0D3CB-04CD-4C86-9420-02108CF38B5B}" name="2027*" dataDxfId="222"/>
    <tableColumn id="10" xr3:uid="{E27B46CC-02E0-47EE-93A7-F8193ECE9D29}" name="2028*" dataDxfId="221"/>
    <tableColumn id="11" xr3:uid="{55F335D6-43DA-4016-8F2A-B3F02CEB92AA}" name="2029*" dataDxfId="220"/>
    <tableColumn id="12" xr3:uid="{86C05423-D07D-478A-BFF0-8588A44C059B}" name="2030*" dataDxfId="219"/>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AE8C793-D721-4150-A5C5-7C5EC7FD95D9}" name="recap_Economie" displayName="recap_Economie" ref="P43:Z46" totalsRowShown="0" headerRowDxfId="218" dataDxfId="216" headerRowBorderDxfId="217" tableBorderDxfId="215" totalsRowBorderDxfId="214" headerRowCellStyle="Milliers">
  <autoFilter ref="P43:Z46" xr:uid="{2EB35518-38FC-491D-B74E-A9E3E2E4D759}"/>
  <tableColumns count="11">
    <tableColumn id="1" xr3:uid="{4586E77C-A440-486E-BD80-DE1033A0F54B}" name="Recap Economie" dataDxfId="213"/>
    <tableColumn id="2" xr3:uid="{43B53A9F-8B69-49C7-9571-6B774DF91E8B}" name="Unité" dataDxfId="212"/>
    <tableColumn id="4" xr3:uid="{9506A52E-9D2A-4302-B6DA-AAEC54257A47}" name="2022*" dataDxfId="211"/>
    <tableColumn id="5" xr3:uid="{07765920-5351-47BA-871D-77F01F8F9699}" name="2023*" dataDxfId="210"/>
    <tableColumn id="6" xr3:uid="{5B9B7B51-2648-4BE3-921B-2F06BEF98299}" name="2024*" dataDxfId="209"/>
    <tableColumn id="7" xr3:uid="{C6451A3D-AB3C-4EF0-A87A-E774F7FB435C}" name="2025*" dataDxfId="208"/>
    <tableColumn id="8" xr3:uid="{193BFF49-AF8E-4238-8B6C-C9B0142C59C1}" name="2026*" dataDxfId="207"/>
    <tableColumn id="9" xr3:uid="{B5AE40CC-C2D1-4639-A4E6-C364B210D976}" name="2027*" dataDxfId="206"/>
    <tableColumn id="10" xr3:uid="{080BCC20-7122-4B54-B3EE-97291236CBFC}" name="2028*" dataDxfId="205"/>
    <tableColumn id="11" xr3:uid="{88585BF2-8621-454D-B751-79548FF6A406}" name="2029*" dataDxfId="204"/>
    <tableColumn id="12" xr3:uid="{E3370E42-E021-4278-9823-B2D75EBF5B11}" name="2030*" dataDxfId="203"/>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AEBA209-BD7B-4DC5-96BF-DE9DEC6876FA}" name="recap_environnement" displayName="recap_environnement" ref="P46:Z50" totalsRowShown="0" headerRowDxfId="202" dataDxfId="200" headerRowBorderDxfId="201" tableBorderDxfId="199" totalsRowBorderDxfId="198" headerRowCellStyle="Milliers">
  <autoFilter ref="P46:Z50" xr:uid="{407C5E87-9B9B-487D-B62B-FB26CBD3BA63}"/>
  <tableColumns count="11">
    <tableColumn id="1" xr3:uid="{33A3B9B3-5298-4A18-8B53-F897F4D77D4E}" name="Recap Environnement" dataDxfId="197"/>
    <tableColumn id="2" xr3:uid="{532B7B18-AF44-4920-98B1-5E3BF9D34017}" name="Unité" dataDxfId="196"/>
    <tableColumn id="4" xr3:uid="{548C86F6-BCB8-4929-82D3-EE253E9F4085}" name="2022*" dataDxfId="195"/>
    <tableColumn id="5" xr3:uid="{273A8C9C-EE57-4104-A3D4-A06569E61C4B}" name="2023*" dataDxfId="194"/>
    <tableColumn id="6" xr3:uid="{C4E8F7EC-1644-4DE7-9A7B-299964C4245A}" name="2024*" dataDxfId="193"/>
    <tableColumn id="7" xr3:uid="{DA04BD17-546F-4998-966D-EBB95400CE9B}" name="2025*" dataDxfId="192"/>
    <tableColumn id="8" xr3:uid="{264E9357-5A5E-4D31-8DF4-D97A85FB9222}" name="2026*" dataDxfId="191"/>
    <tableColumn id="9" xr3:uid="{A2371F59-C35F-465A-8256-81FCBFEAA83F}" name="2027*" dataDxfId="190"/>
    <tableColumn id="10" xr3:uid="{48F8BA9A-F81B-4074-A0F7-260D406A0593}" name="2028*" dataDxfId="189"/>
    <tableColumn id="11" xr3:uid="{59265E57-A39F-48D6-B794-CA5F297B4CDC}" name="2029*" dataDxfId="188"/>
    <tableColumn id="12" xr3:uid="{A6151CCD-19E7-4605-9E91-803CD1FF3FCE}" name="2030*" dataDxfId="187"/>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2C84476-AF83-4D37-8579-DF5C78E8C6A9}" name="recap_exemplarité" displayName="recap_exemplarité" ref="P45:Z47" totalsRowShown="0" headerRowDxfId="186" dataDxfId="184" headerRowBorderDxfId="185" tableBorderDxfId="183" totalsRowBorderDxfId="182" headerRowCellStyle="Milliers">
  <autoFilter ref="P45:Z47" xr:uid="{1C5ACDE8-E48C-472C-AC52-925E04ADEBA1}"/>
  <tableColumns count="11">
    <tableColumn id="1" xr3:uid="{240C23D8-CDE4-4B04-9E53-3B5A2D0A417E}" name="Recap Exemplarité" dataDxfId="181"/>
    <tableColumn id="2" xr3:uid="{26BCC1BD-245C-473E-984B-95B403378F09}" name="Unité" dataDxfId="180"/>
    <tableColumn id="4" xr3:uid="{5E751FE2-6AC3-4686-B3AC-27545CE1472C}" name="2022*" dataDxfId="179"/>
    <tableColumn id="5" xr3:uid="{A2ED2AE6-7BF1-415E-AF9E-B8DC42B6D35F}" name="2023*" dataDxfId="178"/>
    <tableColumn id="6" xr3:uid="{2417E9B6-DD6E-44CF-9F3A-08BD89539C7A}" name="2024*" dataDxfId="177"/>
    <tableColumn id="7" xr3:uid="{07FC3606-5AC4-4D75-89A6-775AA2DE7396}" name="2025*" dataDxfId="176"/>
    <tableColumn id="8" xr3:uid="{DACDF038-3921-41D2-9950-5DC90B93D065}" name="2026*" dataDxfId="175"/>
    <tableColumn id="9" xr3:uid="{3FF1F4FF-2AC2-4E46-AF1B-9B793B0F864A}" name="2027*" dataDxfId="174"/>
    <tableColumn id="10" xr3:uid="{921C41B7-244A-4969-AFCE-0EFAB0C079D5}" name="2028*" dataDxfId="173"/>
    <tableColumn id="11" xr3:uid="{05DC2C11-1338-4B93-AB4E-09DE34C213A2}" name="2029*" dataDxfId="172"/>
    <tableColumn id="12" xr3:uid="{21A2A2FA-8193-49D3-A8DF-788862D1CFE7}" name="2030*" dataDxfId="171"/>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6CE8C36-F2B6-4B5C-8C27-677D8B5A5023}" name="recap_exemplarité12" displayName="recap_exemplarité12" ref="C21:M27" totalsRowShown="0" headerRowDxfId="170" dataDxfId="168" headerRowBorderDxfId="169" tableBorderDxfId="167" totalsRowBorderDxfId="166" headerRowCellStyle="Milliers">
  <autoFilter ref="C21:M27" xr:uid="{1C5ACDE8-E48C-472C-AC52-925E04ADEBA1}"/>
  <tableColumns count="11">
    <tableColumn id="1" xr3:uid="{922C1551-7B3D-4664-AF62-BD2ED720240A}" name="Recap Exemplarité" dataDxfId="165"/>
    <tableColumn id="2" xr3:uid="{9CADD287-2ECE-431F-9310-AE491D70939E}" name="Unité" dataDxfId="164"/>
    <tableColumn id="4" xr3:uid="{8F47715B-E987-4A41-B293-F4D4A01A16DC}" name="2022*" dataDxfId="163">
      <calculatedColumnFormula>E10</calculatedColumnFormula>
    </tableColumn>
    <tableColumn id="5" xr3:uid="{CCD06E6F-E4D8-4AD9-B58E-5A5503D990A7}" name="2023*" dataDxfId="162">
      <calculatedColumnFormula>F10</calculatedColumnFormula>
    </tableColumn>
    <tableColumn id="6" xr3:uid="{61D0DF87-DC8A-4CA5-862F-270BDDD1622F}" name="2024*" dataDxfId="161">
      <calculatedColumnFormula>G10</calculatedColumnFormula>
    </tableColumn>
    <tableColumn id="7" xr3:uid="{0C8A189D-6223-4605-825C-761322945B47}" name="2025*" dataDxfId="160">
      <calculatedColumnFormula>H10</calculatedColumnFormula>
    </tableColumn>
    <tableColumn id="8" xr3:uid="{381E2485-FDC1-4A67-860C-98EF3B4AE687}" name="2026*" dataDxfId="159">
      <calculatedColumnFormula>I10</calculatedColumnFormula>
    </tableColumn>
    <tableColumn id="9" xr3:uid="{DB7B8317-979C-46CE-8E51-F5BA06984549}" name="2027*" dataDxfId="158">
      <calculatedColumnFormula>J10</calculatedColumnFormula>
    </tableColumn>
    <tableColumn id="10" xr3:uid="{CB44B399-5B0B-4ED7-9F0D-C69EBAD608B0}" name="2028*" dataDxfId="157">
      <calculatedColumnFormula>K10</calculatedColumnFormula>
    </tableColumn>
    <tableColumn id="11" xr3:uid="{85C3B98F-A078-4E92-8FE1-114AB4C795B9}" name="2029*" dataDxfId="156">
      <calculatedColumnFormula>L10</calculatedColumnFormula>
    </tableColumn>
    <tableColumn id="12" xr3:uid="{235D15A1-8A52-435D-AC45-6EBBF63F9211}" name="2030*" dataDxfId="155">
      <calculatedColumnFormula>M10</calculatedColumnFormula>
    </tableColum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BA644D2-9428-4E6C-BADB-742DD6B2DD3F}" name="suiviannée" displayName="suiviannée" ref="B8:C9" totalsRowShown="0" headerRowDxfId="154" headerRowBorderDxfId="153" tableBorderDxfId="152" totalsRowBorderDxfId="151">
  <autoFilter ref="B8:C9" xr:uid="{30D57C2D-1DA1-4415-B5DB-92C36B5FE8C0}"/>
  <tableColumns count="2">
    <tableColumn id="1" xr3:uid="{CBFDBE73-138C-44E3-A686-19246BED315A}" name="Colonne1" dataDxfId="150"/>
    <tableColumn id="2" xr3:uid="{CBC63D85-A12D-4DDA-B5F9-DE12B112045C}" name="Colonne2" dataDxfId="149"/>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02A943A-2FDD-499B-A1A8-AA05B60E4106}" name="consoenergie" displayName="consoenergie" ref="LP11:LV24" totalsRowShown="0" headerRowDxfId="148" dataDxfId="147">
  <autoFilter ref="LP11:LV24" xr:uid="{B6A16B84-03A4-41AD-B58C-C1386C3F8E6B}"/>
  <tableColumns count="7">
    <tableColumn id="1" xr3:uid="{DC318D7B-57E0-4D8C-994B-9BEA3CACECBF}" name="Année de suivi" dataDxfId="146"/>
    <tableColumn id="2" xr3:uid="{0723518A-6184-47E5-80BA-618DB86CEBAB}" name="Consommations : objectif réglementaire" dataDxfId="145"/>
    <tableColumn id="3" xr3:uid="{27394826-23FE-45A9-9505-6AC5AAAD5D1E}" name="Consommations : objectif stratégie" dataDxfId="144"/>
    <tableColumn id="4" xr3:uid="{6C948DCB-B6EF-443C-810D-1C0E5F975A5B}" name="Consommations : mesure réelle" dataDxfId="143"/>
    <tableColumn id="8" xr3:uid="{19CFED0C-85BD-4A96-9432-4129A7FA0B41}" name="EnR&amp;R : objectif réglementaire" dataDxfId="142"/>
    <tableColumn id="9" xr3:uid="{553D21B3-C6BF-443D-9E5C-C1FF4CECEADA}" name="EnR&amp;R : objectif stratégie" dataDxfId="141"/>
    <tableColumn id="10" xr3:uid="{864C81AC-61BF-48D8-9F88-A41A4F3613D8}" name="EnR&amp;R : mesure réelle" dataDxfId="140"/>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1A25BE5-869F-49AA-A00C-FA66B6C50896}" name="suiviparsecteur" displayName="suiviparsecteur" ref="LX11:MH23" totalsRowShown="0" headerRowDxfId="139" dataDxfId="138">
  <autoFilter ref="LX11:MH23" xr:uid="{EDC605A5-CB05-4DBD-BA64-463008835657}"/>
  <tableColumns count="11">
    <tableColumn id="1" xr3:uid="{93AD7785-027D-45F1-88AE-D914F30981A0}" name="Année de suivi" dataDxfId="137"/>
    <tableColumn id="2" xr3:uid="{6DB18003-C20E-4DD4-9930-29C088DEBB49}" name="Résidentiel réel" dataDxfId="136"/>
    <tableColumn id="3" xr3:uid="{902B3D98-B187-4DEF-83B0-0A077BA2CACA}" name="Tertiaire réel" dataDxfId="135"/>
    <tableColumn id="4" xr3:uid="{B660C35E-8BEF-4514-916F-7AE16FD418A9}" name="Transport réel réel" dataDxfId="134"/>
    <tableColumn id="5" xr3:uid="{696FE315-D089-4336-BD79-67A068DB3B6E}" name="Industrie réel" dataDxfId="133"/>
    <tableColumn id="6" xr3:uid="{60F362B9-8031-4101-B318-AD81AA83E667}" name="Agriculture réel" dataDxfId="132"/>
    <tableColumn id="7" xr3:uid="{AF30D71E-577D-4737-8D8B-DC84CBA7FFB9}" name="Résidentiel objectif" dataDxfId="131"/>
    <tableColumn id="8" xr3:uid="{8D33A2C6-DE7F-4D0B-BACC-3D3D178AA1C7}" name="Tertiaire obj" dataDxfId="130"/>
    <tableColumn id="9" xr3:uid="{4F88AC57-F2D2-47E7-B511-0AD1267DA468}" name="Transport obj" dataDxfId="129"/>
    <tableColumn id="10" xr3:uid="{5AA351E4-BC2B-40D9-94DD-8620276E88C3}" name="Industrie obj" dataDxfId="128"/>
    <tableColumn id="11" xr3:uid="{B77751F3-D47B-48A6-BDD0-2C6DE7DA0A34}" name="Agriculture obj" dataDxfId="127"/>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A5DE96C-282C-4C71-B5E2-136BF84B405E}" name="GES" displayName="GES" ref="LP28:LV41" totalsRowShown="0" headerRowDxfId="126" dataDxfId="125">
  <autoFilter ref="LP28:LV41" xr:uid="{71E36990-140D-4303-8751-7B0F05307E7A}"/>
  <tableColumns count="7">
    <tableColumn id="1" xr3:uid="{E0196088-08A7-4DD5-9010-45C42D693257}" name="Année de suivi" dataDxfId="124"/>
    <tableColumn id="2" xr3:uid="{0FD42A24-F9EE-4EEC-A889-00524A0E43E8}" name="GES : objectif réglementaire" dataDxfId="123" dataCellStyle="Milliers"/>
    <tableColumn id="3" xr3:uid="{74852E7A-8BCC-4FCB-BE40-DB0891FC26B9}" name="GES : Objectif stratégie" dataDxfId="122" dataCellStyle="Milliers"/>
    <tableColumn id="4" xr3:uid="{6A416964-B1B9-4FFD-93E7-F8B50A637EE6}" name="GES : Mesure réelle" dataDxfId="121" dataCellStyle="Milliers"/>
    <tableColumn id="8" xr3:uid="{9806E633-B6B4-4B2C-BDD7-7199F7E70B22}" name="Séquestration : Objectif réglementaire" dataDxfId="120" dataCellStyle="Milliers"/>
    <tableColumn id="9" xr3:uid="{EF1D1D1C-7E2E-41B3-8F53-F1D94EFE5AFA}" name="Séquestration : Objectif stratégie" dataDxfId="119" dataCellStyle="Milliers"/>
    <tableColumn id="10" xr3:uid="{6AD1A314-3FEC-4C9B-846F-CD8032A3B57A}" name="Séquestration : Mesure réelle" dataDxfId="118" dataCellStyle="Milliers">
      <calculatedColumnFormula>'Axe 4 Économie BC'!#REF!</calculatedColumnFormula>
    </tableColumn>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D068FD6-9201-4953-9DC5-94409B8EDD93}" name="suiviparsecteurGES" displayName="suiviparsecteurGES" ref="LX28:MH40" totalsRowShown="0" headerRowDxfId="117" dataDxfId="116" tableBorderDxfId="115">
  <autoFilter ref="LX28:MH40" xr:uid="{DA842CE8-DC3E-4A1C-AB8A-0BCC692E00BA}"/>
  <tableColumns count="11">
    <tableColumn id="1" xr3:uid="{1CF03B27-2AC8-4E39-A8B5-D0290E95790D}" name="Année de suivi" dataDxfId="114"/>
    <tableColumn id="2" xr3:uid="{B555076D-6A0B-42FD-81E8-E05804601BC9}" name="Résidentiel réel" dataDxfId="113" dataCellStyle="Milliers"/>
    <tableColumn id="3" xr3:uid="{19A20333-3196-4A02-A534-40AE2F425F62}" name="Tertiaire réel" dataDxfId="112" dataCellStyle="Milliers"/>
    <tableColumn id="4" xr3:uid="{8B520D95-5369-4F76-AF31-6E0A1EF3F86B}" name="Transport réel réel" dataDxfId="111" dataCellStyle="Milliers"/>
    <tableColumn id="5" xr3:uid="{CB079B47-D856-481D-9E8F-3D193583108F}" name="Industrie réel" dataDxfId="110" dataCellStyle="Milliers"/>
    <tableColumn id="6" xr3:uid="{74EA00E8-47B9-46D8-AE5E-7942CFC363BF}" name="Agriculture réel" dataDxfId="109" dataCellStyle="Milliers"/>
    <tableColumn id="7" xr3:uid="{158DB8FB-C133-4DFE-B181-77B50E709A3A}" name="Résidentiel objectif" dataDxfId="108" dataCellStyle="Milliers"/>
    <tableColumn id="8" xr3:uid="{839A82FC-507C-403A-8DC2-7CA516999659}" name="Tertiaire obj" dataDxfId="107" dataCellStyle="Milliers"/>
    <tableColumn id="9" xr3:uid="{284F245C-F320-4E00-A0D0-E88EFD3BEAD8}" name="Transport obj" dataDxfId="106" dataCellStyle="Milliers"/>
    <tableColumn id="10" xr3:uid="{56EB014E-5684-4765-84EE-15126210C493}" name="Industrie obj" dataDxfId="105" dataCellStyle="Milliers"/>
    <tableColumn id="11" xr3:uid="{086BB200-4BF2-45F7-9916-4B13898F7DEE}" name="Agriculture obj" dataDxfId="104" dataCellStyle="Milliers"/>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C0D0759-85FB-4816-B5F6-C45F30D415B8}" name="polluants_atmo" displayName="polluants_atmo" ref="LP44:MB56" totalsRowShown="0" headerRowDxfId="103" dataDxfId="102">
  <autoFilter ref="LP44:MB56" xr:uid="{F2045185-23CF-4DF5-8622-8FCD1970FEA7}"/>
  <tableColumns count="13">
    <tableColumn id="1" xr3:uid="{72BE8354-6B9B-4165-BDE7-115A3CC2EBF8}" name="Année de suivi" dataDxfId="101"/>
    <tableColumn id="2" xr3:uid="{9BDA4319-64A9-4243-BA2E-C04C5C6C7F63}" name="NOX : objectif  réglementaire" dataDxfId="100" dataCellStyle="Milliers"/>
    <tableColumn id="3" xr3:uid="{A10A1F52-AF9C-46BD-A5A0-76B98DBB2A8F}" name="NOX : mesures réelles " dataDxfId="99" dataCellStyle="Milliers"/>
    <tableColumn id="4" xr3:uid="{EFE95E9B-C9DA-4FAF-B28F-9DA838CEB361}" name="PM 10 : objectif  réglementaire" dataDxfId="98" dataCellStyle="Milliers"/>
    <tableColumn id="8" xr3:uid="{D4CA97D6-3D24-485A-AD34-6B4B62149F95}" name="PM 10 : mesures réelles" dataDxfId="97" dataCellStyle="Milliers"/>
    <tableColumn id="9" xr3:uid="{0BFE514E-A316-4A66-8452-7F8B1FF16252}" name="PM 2,5 : objectif  réglementaire" dataDxfId="96" dataCellStyle="Milliers"/>
    <tableColumn id="10" xr3:uid="{C61E4245-C461-478A-9378-8B3F8125E05D}" name="PM 2,5 : mesures réelles" dataDxfId="95" dataCellStyle="Milliers"/>
    <tableColumn id="5" xr3:uid="{DECB0EA7-28F0-426F-8D94-F23C1467DCD0}" name="COV : objectif réglementaire" dataDxfId="94" dataCellStyle="Milliers"/>
    <tableColumn id="13" xr3:uid="{8E40C596-9B37-4618-BEC4-1589A7CB86DF}" name="COV : mesures réelles" dataDxfId="93" dataCellStyle="Milliers"/>
    <tableColumn id="12" xr3:uid="{3CFEE5EE-3A1E-49B4-BE03-9213586EAE2C}" name="SO2 : objectif  réglementaire" dataDxfId="92" dataCellStyle="Milliers"/>
    <tableColumn id="6" xr3:uid="{5D4D0682-0007-4A9C-BEF0-1516C66DD2AA}" name="SO2 : mesures réelles" dataDxfId="91" dataCellStyle="Milliers"/>
    <tableColumn id="7" xr3:uid="{44D41B7C-1B82-4F62-AF41-75ED663994E7}" name="NH3 : objectif  réglementaire" dataDxfId="90" dataCellStyle="Milliers"/>
    <tableColumn id="11" xr3:uid="{501159EF-2958-465A-A540-97990A31A013}" name="NH3 : mesures réelles" dataDxfId="89" dataCellStyle="Milliers"/>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D856762-D12E-472E-9EA6-4D1F03387486}" name="LISTE" displayName="LISTE" ref="MJ11:MJ22" totalsRowShown="0" headerRowDxfId="88" dataDxfId="87">
  <autoFilter ref="MJ11:MJ22" xr:uid="{EC656AD7-24B1-4A66-A977-EAA618C5F2BB}"/>
  <tableColumns count="1">
    <tableColumn id="1" xr3:uid="{24FAA7F9-A157-4938-AAB8-E7EF540ED9EA}" name="Liste déroulante Années" dataDxfId="86"/>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1509C62-0339-4296-8016-3968ED7F856A}" name="Tableau12" displayName="Tableau12" ref="B6:L13" totalsRowShown="0">
  <autoFilter ref="B6:L13" xr:uid="{D1509C62-0339-4296-8016-3968ED7F856A}"/>
  <tableColumns count="11">
    <tableColumn id="1" xr3:uid="{CE40D736-0F38-4D97-9587-9E72AFFB0A77}" name="Colonne1"/>
    <tableColumn id="2" xr3:uid="{798E4F23-ABF4-466F-9AE8-787B2BE884FD}" name="Colonne2" dataDxfId="85"/>
    <tableColumn id="3" xr3:uid="{CDB7400A-D64B-4439-86B1-E0124E7BD1E8}" name="2022" dataDxfId="84"/>
    <tableColumn id="4" xr3:uid="{97EA166E-72BA-430C-8B83-08F4EFA1050A}" name="2023"/>
    <tableColumn id="5" xr3:uid="{315CD109-2929-4D83-BAF6-37DEAF5D386E}" name="2024"/>
    <tableColumn id="6" xr3:uid="{9DF498DE-4644-4C9A-8585-303FF9C3E581}" name="2025"/>
    <tableColumn id="7" xr3:uid="{80CFB301-46FF-4D65-8672-215F2B745C73}" name="2026"/>
    <tableColumn id="8" xr3:uid="{428EADFA-98D7-46FB-9673-9EBD249FEBD4}" name="2027"/>
    <tableColumn id="9" xr3:uid="{A8538ABD-4BF4-4582-8291-D01002FBB92F}" name="2028"/>
    <tableColumn id="10" xr3:uid="{2A7F9675-F416-40E5-9E45-0705E5ADC8FB}" name="2029"/>
    <tableColumn id="11" xr3:uid="{1B2285B8-BD19-44EB-9AD0-533A320E6549}" name="2030"/>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49335DE-FC65-4562-9412-C6A1245F955B}" name="Tableau13" displayName="Tableau13" ref="B23:L121" totalsRowShown="0" headerRowDxfId="83">
  <autoFilter ref="B23:L121" xr:uid="{C49335DE-FC65-4562-9412-C6A1245F955B}"/>
  <tableColumns count="11">
    <tableColumn id="1" xr3:uid="{18B12A11-A53B-44B7-BB00-DD8209D93DAE}" name="Actions" dataDxfId="82"/>
    <tableColumn id="4" xr3:uid="{E5027CF2-D007-4F7B-BDE2-FF1133BD00A6}" name="Sous-actions" dataDxfId="81"/>
    <tableColumn id="5" xr3:uid="{64F45E2D-CFEB-471E-8277-D629A6ADFDE8}" name="2022" dataDxfId="80"/>
    <tableColumn id="6" xr3:uid="{38B6B1CC-98F3-4308-93AB-08241A4D3DA3}" name="2023" dataDxfId="79"/>
    <tableColumn id="7" xr3:uid="{4D58016B-75FD-4E54-8EBA-1128B0046A10}" name="2024" dataDxfId="78"/>
    <tableColumn id="8" xr3:uid="{9E17DDE4-570B-45A3-9D15-6B9C576EBD50}" name="2025" dataDxfId="77"/>
    <tableColumn id="9" xr3:uid="{26B5F397-E271-486E-AA8B-81E73D6E0688}" name="2026" dataDxfId="76"/>
    <tableColumn id="10" xr3:uid="{2561CCBC-CDA8-41E1-B2A8-68154A20831C}" name="2027" dataDxfId="75"/>
    <tableColumn id="11" xr3:uid="{B5870674-87A3-4E83-9730-3B7F3F2DF7E3}" name="2028" dataDxfId="74"/>
    <tableColumn id="12" xr3:uid="{DAEDF6C0-29BB-4870-B9D8-EE7C86F8BAEC}" name="2029" dataDxfId="73"/>
    <tableColumn id="13" xr3:uid="{721E4530-F603-4D42-931F-56E1EA3F2137}" name="2030" dataDxfId="72"/>
  </tableColumns>
  <tableStyleInfo name="TableStyleLight1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0l2];/" TargetMode="External"/><Relationship Id="rId7" Type="http://schemas.openxmlformats.org/officeDocument/2006/relationships/hyperlink" Target="http://[s0l6];/" TargetMode="External"/><Relationship Id="rId2" Type="http://schemas.openxmlformats.org/officeDocument/2006/relationships/hyperlink" Target="http://[s0l1];/" TargetMode="External"/><Relationship Id="rId1" Type="http://schemas.openxmlformats.org/officeDocument/2006/relationships/hyperlink" Target="http://[s0l0];/" TargetMode="External"/><Relationship Id="rId6" Type="http://schemas.openxmlformats.org/officeDocument/2006/relationships/hyperlink" Target="http://[s0l5];/" TargetMode="External"/><Relationship Id="rId5" Type="http://schemas.openxmlformats.org/officeDocument/2006/relationships/hyperlink" Target="http://[s0l4];/" TargetMode="External"/><Relationship Id="rId4" Type="http://schemas.openxmlformats.org/officeDocument/2006/relationships/hyperlink" Target="http://[s0l3];/"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table" Target="../tables/table12.xml"/><Relationship Id="rId3" Type="http://schemas.openxmlformats.org/officeDocument/2006/relationships/table" Target="../tables/table7.xml"/><Relationship Id="rId7" Type="http://schemas.openxmlformats.org/officeDocument/2006/relationships/table" Target="../tables/table11.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 Id="rId9"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29C00-C432-47D3-90D4-8CD69B297931}">
  <sheetPr>
    <tabColor rgb="FFFFFF00"/>
  </sheetPr>
  <dimension ref="B3:V25"/>
  <sheetViews>
    <sheetView showGridLines="0" view="pageBreakPreview" zoomScale="90" zoomScaleNormal="40" zoomScaleSheetLayoutView="90" workbookViewId="0">
      <pane ySplit="5" topLeftCell="A6" activePane="bottomLeft" state="frozen"/>
      <selection pane="bottomLeft" activeCell="B7" sqref="B7:H7"/>
    </sheetView>
  </sheetViews>
  <sheetFormatPr baseColWidth="10" defaultColWidth="9.28515625" defaultRowHeight="15"/>
  <cols>
    <col min="1" max="1" width="5.7109375" customWidth="1"/>
    <col min="2" max="2" width="43.5703125" bestFit="1" customWidth="1"/>
    <col min="3" max="3" width="25.28515625" customWidth="1"/>
    <col min="4" max="11" width="18.5703125" customWidth="1"/>
    <col min="12" max="12" width="16.5703125" customWidth="1"/>
    <col min="13" max="14" width="21.28515625" customWidth="1"/>
    <col min="15" max="15" width="23" customWidth="1"/>
    <col min="16" max="16" width="3.42578125" customWidth="1"/>
    <col min="17" max="18" width="10.42578125" hidden="1" customWidth="1"/>
    <col min="19" max="22" width="9.28515625" hidden="1" customWidth="1"/>
    <col min="23" max="23" width="9.28515625" customWidth="1"/>
  </cols>
  <sheetData>
    <row r="3" spans="2:15" ht="35.25" customHeight="1">
      <c r="B3" s="403" t="s">
        <v>85</v>
      </c>
      <c r="C3" s="404"/>
      <c r="D3" s="404"/>
      <c r="E3" s="404"/>
      <c r="F3" s="404"/>
      <c r="G3" s="404"/>
      <c r="H3" s="404"/>
      <c r="I3" s="404"/>
      <c r="J3" s="404"/>
      <c r="K3" s="404"/>
      <c r="L3" s="404"/>
      <c r="M3" s="404"/>
      <c r="N3" s="404"/>
    </row>
    <row r="4" spans="2:15" ht="21.75" customHeight="1">
      <c r="B4" s="406" t="s">
        <v>3</v>
      </c>
      <c r="C4" s="407"/>
      <c r="D4" s="407"/>
      <c r="E4" s="407"/>
      <c r="F4" s="407"/>
      <c r="G4" s="407"/>
      <c r="H4" s="407"/>
      <c r="I4" s="407"/>
      <c r="J4" s="407"/>
      <c r="K4" s="407"/>
      <c r="L4" s="407"/>
      <c r="M4" s="407"/>
      <c r="N4" s="407"/>
      <c r="O4" s="407"/>
    </row>
    <row r="5" spans="2:15" ht="15.75" thickBot="1"/>
    <row r="6" spans="2:15">
      <c r="B6" s="23"/>
      <c r="C6" s="24"/>
      <c r="D6" s="24"/>
      <c r="E6" s="24"/>
      <c r="F6" s="24"/>
      <c r="G6" s="24"/>
      <c r="H6" s="24"/>
      <c r="I6" s="24"/>
      <c r="J6" s="24"/>
      <c r="K6" s="24"/>
      <c r="L6" s="25"/>
      <c r="M6" s="26"/>
      <c r="N6" s="26"/>
      <c r="O6" s="26"/>
    </row>
    <row r="7" spans="2:15" ht="269.64999999999998" customHeight="1">
      <c r="B7" s="405" t="s">
        <v>602</v>
      </c>
      <c r="C7" s="405"/>
      <c r="D7" s="405"/>
      <c r="E7" s="405"/>
      <c r="F7" s="405"/>
      <c r="G7" s="405"/>
      <c r="H7" s="405"/>
      <c r="I7" s="101"/>
      <c r="J7" s="101"/>
      <c r="K7" s="101"/>
      <c r="L7" s="101"/>
      <c r="M7" s="101"/>
      <c r="N7" s="101"/>
      <c r="O7" s="51"/>
    </row>
    <row r="8" spans="2:15">
      <c r="B8" s="48"/>
      <c r="C8" s="49"/>
      <c r="D8" s="49"/>
      <c r="E8" s="49"/>
      <c r="F8" s="49"/>
      <c r="G8" s="49"/>
      <c r="H8" s="49"/>
      <c r="I8" s="49"/>
      <c r="J8" s="49"/>
      <c r="K8" s="49"/>
      <c r="L8" s="50"/>
      <c r="M8" s="51"/>
      <c r="N8" s="51"/>
      <c r="O8" s="51"/>
    </row>
    <row r="9" spans="2:15">
      <c r="B9" s="102" t="s">
        <v>84</v>
      </c>
      <c r="C9" s="49"/>
      <c r="D9" s="49"/>
      <c r="E9" s="49"/>
      <c r="F9" s="49"/>
      <c r="G9" s="49"/>
      <c r="H9" s="49"/>
      <c r="I9" s="49"/>
      <c r="J9" s="49"/>
      <c r="K9" s="49"/>
      <c r="L9" s="50"/>
      <c r="M9" s="51"/>
      <c r="N9" s="51"/>
      <c r="O9" s="51"/>
    </row>
    <row r="10" spans="2:15">
      <c r="B10" s="48"/>
      <c r="C10" s="49"/>
      <c r="D10" s="49"/>
      <c r="E10" s="49"/>
      <c r="F10" s="49"/>
      <c r="G10" s="49"/>
      <c r="H10" s="49"/>
      <c r="I10" s="49"/>
      <c r="J10" s="49"/>
      <c r="K10" s="49"/>
      <c r="L10" s="50"/>
      <c r="M10" s="51"/>
      <c r="N10" s="51"/>
      <c r="O10" s="51"/>
    </row>
    <row r="11" spans="2:15">
      <c r="B11" s="103" t="s">
        <v>86</v>
      </c>
      <c r="C11" s="103" t="s">
        <v>87</v>
      </c>
      <c r="D11" s="49"/>
      <c r="E11" s="49"/>
      <c r="F11" s="49"/>
      <c r="G11" s="49"/>
      <c r="H11" s="49"/>
      <c r="I11" s="49"/>
      <c r="J11" s="49"/>
      <c r="K11" s="49"/>
      <c r="L11" s="50"/>
      <c r="M11" s="51"/>
      <c r="N11" s="51"/>
      <c r="O11" s="51"/>
    </row>
    <row r="12" spans="2:15">
      <c r="B12" s="115" t="s">
        <v>175</v>
      </c>
      <c r="C12" s="106"/>
      <c r="D12" s="49"/>
      <c r="E12" s="49"/>
      <c r="F12" s="49"/>
      <c r="G12" s="49"/>
      <c r="H12" s="49"/>
      <c r="I12" s="49"/>
      <c r="J12" s="49"/>
      <c r="K12" s="49"/>
      <c r="L12" s="50"/>
      <c r="M12" s="51"/>
      <c r="N12" s="51"/>
      <c r="O12" s="51"/>
    </row>
    <row r="13" spans="2:15">
      <c r="B13" s="116" t="s">
        <v>176</v>
      </c>
      <c r="C13" s="106"/>
      <c r="D13" s="49"/>
      <c r="E13" s="49"/>
      <c r="F13" s="49"/>
      <c r="G13" s="49"/>
      <c r="H13" s="49"/>
      <c r="I13" s="49"/>
      <c r="J13" s="49"/>
      <c r="K13" s="49"/>
      <c r="L13" s="50"/>
      <c r="M13" s="51"/>
      <c r="N13" s="51"/>
      <c r="O13" s="51"/>
    </row>
    <row r="14" spans="2:15">
      <c r="B14" s="117" t="s">
        <v>177</v>
      </c>
      <c r="C14" s="106"/>
      <c r="D14" s="49"/>
      <c r="E14" s="49"/>
      <c r="F14" s="49"/>
      <c r="G14" s="49"/>
      <c r="H14" s="49"/>
      <c r="I14" s="49"/>
      <c r="J14" s="49"/>
      <c r="K14" s="49"/>
      <c r="L14" s="50"/>
      <c r="M14" s="51"/>
      <c r="N14" s="51"/>
      <c r="O14" s="51"/>
    </row>
    <row r="15" spans="2:15">
      <c r="B15" s="118" t="s">
        <v>178</v>
      </c>
      <c r="C15" s="106"/>
      <c r="D15" s="49"/>
      <c r="E15" s="49"/>
      <c r="F15" s="49"/>
      <c r="G15" s="49"/>
      <c r="H15" s="49"/>
      <c r="I15" s="49"/>
      <c r="J15" s="49"/>
      <c r="K15" s="49"/>
      <c r="L15" s="50"/>
      <c r="M15" s="51"/>
      <c r="N15" s="51"/>
      <c r="O15" s="51"/>
    </row>
    <row r="16" spans="2:15">
      <c r="B16" s="104" t="s">
        <v>179</v>
      </c>
      <c r="C16" s="106"/>
      <c r="D16" s="49"/>
      <c r="E16" s="49"/>
      <c r="F16" s="49"/>
      <c r="G16" s="49"/>
      <c r="H16" s="49"/>
      <c r="I16" s="49"/>
      <c r="J16" s="49"/>
      <c r="K16" s="49"/>
      <c r="L16" s="50"/>
      <c r="M16" s="51"/>
      <c r="N16" s="51"/>
      <c r="O16" s="51"/>
    </row>
    <row r="17" spans="2:15">
      <c r="B17" s="370" t="s">
        <v>598</v>
      </c>
      <c r="C17" s="106"/>
      <c r="D17" s="49"/>
      <c r="E17" s="49"/>
      <c r="F17" s="49"/>
      <c r="G17" s="49"/>
      <c r="H17" s="49"/>
      <c r="I17" s="49"/>
      <c r="J17" s="49"/>
      <c r="K17" s="49"/>
      <c r="L17" s="50"/>
      <c r="M17" s="51"/>
      <c r="N17" s="51"/>
      <c r="O17" s="51"/>
    </row>
    <row r="18" spans="2:15">
      <c r="B18" s="48"/>
      <c r="C18" s="49"/>
      <c r="D18" s="49"/>
      <c r="E18" s="49"/>
      <c r="F18" s="49"/>
      <c r="G18" s="49"/>
      <c r="H18" s="49"/>
      <c r="I18" s="49"/>
      <c r="J18" s="49"/>
      <c r="K18" s="49"/>
      <c r="L18" s="50"/>
      <c r="M18" s="51"/>
      <c r="N18" s="51"/>
      <c r="O18" s="51"/>
    </row>
    <row r="19" spans="2:15" ht="30">
      <c r="B19" s="105" t="s">
        <v>88</v>
      </c>
      <c r="C19" s="49"/>
      <c r="D19" s="49"/>
      <c r="E19" s="49"/>
      <c r="F19" s="49"/>
      <c r="G19" s="49"/>
      <c r="H19" s="49"/>
      <c r="I19" s="49"/>
      <c r="J19" s="49"/>
      <c r="K19" s="49"/>
      <c r="L19" s="50"/>
      <c r="M19" s="51"/>
      <c r="N19" s="51"/>
      <c r="O19" s="51"/>
    </row>
    <row r="20" spans="2:15" ht="15" customHeight="1">
      <c r="B20" s="119" t="s">
        <v>97</v>
      </c>
      <c r="C20" s="49"/>
      <c r="D20" s="29"/>
      <c r="E20" s="29"/>
      <c r="F20" s="29"/>
      <c r="G20" s="29"/>
      <c r="H20" s="29"/>
      <c r="I20" s="29"/>
      <c r="J20" s="29"/>
      <c r="K20" s="29"/>
      <c r="L20" s="29"/>
      <c r="M20" s="30"/>
      <c r="N20" s="30"/>
      <c r="O20" s="30"/>
    </row>
    <row r="21" spans="2:15">
      <c r="B21" s="29"/>
      <c r="C21" s="49"/>
      <c r="D21" s="29"/>
      <c r="E21" s="29"/>
      <c r="F21" s="29"/>
      <c r="G21" s="29"/>
      <c r="H21" s="29"/>
      <c r="I21" s="29"/>
      <c r="J21" s="29"/>
      <c r="K21" s="29"/>
      <c r="L21" s="29"/>
      <c r="M21" s="29"/>
      <c r="N21" s="29"/>
      <c r="O21" s="29"/>
    </row>
    <row r="22" spans="2:15">
      <c r="B22" s="29"/>
      <c r="C22" s="29"/>
      <c r="D22" s="29"/>
      <c r="E22" s="29"/>
      <c r="F22" s="29"/>
      <c r="G22" s="29"/>
      <c r="H22" s="29"/>
      <c r="I22" s="29"/>
      <c r="J22" s="29"/>
      <c r="K22" s="29"/>
      <c r="L22" s="29"/>
      <c r="M22" s="29"/>
      <c r="N22" s="29"/>
      <c r="O22" s="29"/>
    </row>
    <row r="23" spans="2:15">
      <c r="B23" s="29"/>
      <c r="C23" s="29"/>
      <c r="D23" s="29"/>
      <c r="E23" s="29"/>
      <c r="F23" s="29"/>
      <c r="G23" s="29"/>
      <c r="H23" s="29"/>
      <c r="I23" s="29"/>
      <c r="J23" s="29"/>
      <c r="K23" s="29"/>
      <c r="L23" s="29"/>
      <c r="M23" s="29"/>
      <c r="N23" s="29"/>
      <c r="O23" s="29"/>
    </row>
    <row r="24" spans="2:15">
      <c r="B24" s="29"/>
      <c r="C24" s="29"/>
      <c r="D24" s="29"/>
      <c r="E24" s="29"/>
      <c r="F24" s="29"/>
      <c r="G24" s="29"/>
      <c r="H24" s="29"/>
      <c r="I24" s="29"/>
      <c r="J24" s="29"/>
      <c r="K24" s="29"/>
      <c r="L24" s="29"/>
      <c r="M24" s="29"/>
      <c r="N24" s="29"/>
      <c r="O24" s="29"/>
    </row>
    <row r="25" spans="2:15">
      <c r="B25" s="29"/>
      <c r="C25" s="29"/>
      <c r="D25" s="29"/>
      <c r="E25" s="29"/>
      <c r="F25" s="29"/>
      <c r="G25" s="29"/>
      <c r="H25" s="29"/>
      <c r="I25" s="29"/>
      <c r="J25" s="29"/>
      <c r="K25" s="29"/>
      <c r="L25" s="29"/>
      <c r="M25" s="29"/>
      <c r="N25" s="29"/>
      <c r="O25" s="29"/>
    </row>
  </sheetData>
  <sheetProtection sheet="1" insertColumns="0" insertRows="0" autoFilter="0"/>
  <mergeCells count="3">
    <mergeCell ref="B3:N3"/>
    <mergeCell ref="B7:H7"/>
    <mergeCell ref="B4:O4"/>
  </mergeCells>
  <hyperlinks>
    <hyperlink ref="B14" r:id="rId1" location="'Axe 3 Milieu naturel et prod'!Zone_d_impression" xr:uid="{6109489E-B976-48A7-BE6E-9E95A3524D29}"/>
    <hyperlink ref="B12" r:id="rId2" location="'Axe 1 Logement et bâti'!Zone_d_impression" xr:uid="{AB18F3EB-EB99-4B83-A401-EA936D8F8E8B}"/>
    <hyperlink ref="B13" r:id="rId3" location="'Axe 2 Déplacement'!Zone_d_impression" xr:uid="{4018246E-7C82-4DAA-98E3-2A27384D975A}"/>
    <hyperlink ref="B15" r:id="rId4" location="'Axe 4 Économie BC'!Zone_d_impression" xr:uid="{E46C87E4-C269-4982-8471-0380DE738F59}"/>
    <hyperlink ref="B19" r:id="rId5" location="'Récapitulatif évolution'!Zone_d_impression" xr:uid="{2D88E912-11FC-435B-B768-4E2640588B66}"/>
    <hyperlink ref="B16" r:id="rId6" location="'Axe 5 Exemplarité'!Zone_d_impression" display="Axe 5 : Exemplarité et gouvernance" xr:uid="{32CEDFED-775D-4EF3-BB67-CA8B8FDC8E63}"/>
    <hyperlink ref="B17" r:id="rId7" location="'Axe Suivi qualité de l''air'!Zone_d_impression" xr:uid="{78F5F56E-9356-4A25-A5E3-9F3020D41F42}"/>
  </hyperlinks>
  <pageMargins left="0.70866141732283505" right="0.70866141732283505" top="0.74803149606299202" bottom="0.74803149606299202" header="0.31496062992126" footer="0.31496062992126"/>
  <pageSetup paperSize="8" scale="27"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E528A-6801-4688-8528-0F8C22768FF7}">
  <sheetPr>
    <tabColor rgb="FFFFFF00"/>
  </sheetPr>
  <dimension ref="B3:Z40"/>
  <sheetViews>
    <sheetView showGridLines="0" view="pageBreakPreview" zoomScale="80" zoomScaleNormal="40" zoomScaleSheetLayoutView="80" workbookViewId="0">
      <pane ySplit="9" topLeftCell="A20" activePane="bottomLeft" state="frozen"/>
      <selection pane="bottomLeft" activeCell="E17" sqref="E17"/>
    </sheetView>
  </sheetViews>
  <sheetFormatPr baseColWidth="10" defaultColWidth="9.28515625" defaultRowHeight="15"/>
  <cols>
    <col min="1" max="1" width="5.7109375" customWidth="1"/>
    <col min="2" max="2" width="55.5703125" customWidth="1"/>
    <col min="3" max="3" width="59.28515625" customWidth="1"/>
    <col min="4" max="4" width="15.5703125" customWidth="1"/>
    <col min="5" max="5" width="94.7109375" style="8" customWidth="1"/>
    <col min="6" max="6" width="3.42578125" customWidth="1"/>
    <col min="7" max="8" width="10.42578125" customWidth="1"/>
    <col min="9" max="13" width="9.28515625" customWidth="1"/>
  </cols>
  <sheetData>
    <row r="3" spans="2:8" ht="26.25">
      <c r="B3" s="435" t="s">
        <v>85</v>
      </c>
      <c r="C3" s="435"/>
      <c r="D3" s="435"/>
      <c r="E3" s="435"/>
    </row>
    <row r="4" spans="2:8">
      <c r="B4" s="436" t="s">
        <v>3</v>
      </c>
      <c r="C4" s="436"/>
      <c r="D4" s="436"/>
      <c r="E4" s="436"/>
    </row>
    <row r="5" spans="2:8">
      <c r="B5" s="437" t="s">
        <v>105</v>
      </c>
      <c r="C5" s="438"/>
      <c r="D5" s="438"/>
      <c r="E5" s="438"/>
    </row>
    <row r="6" spans="2:8" ht="15.75" thickBot="1"/>
    <row r="7" spans="2:8">
      <c r="B7" s="439" t="s">
        <v>4</v>
      </c>
      <c r="C7" s="439" t="s">
        <v>98</v>
      </c>
      <c r="D7" s="447" t="s">
        <v>99</v>
      </c>
      <c r="E7" s="442" t="s">
        <v>5</v>
      </c>
    </row>
    <row r="8" spans="2:8">
      <c r="B8" s="440"/>
      <c r="C8" s="440"/>
      <c r="D8" s="448"/>
      <c r="E8" s="443"/>
    </row>
    <row r="9" spans="2:8" s="2" customFormat="1" ht="21.75" thickBot="1">
      <c r="B9" s="441"/>
      <c r="C9" s="441"/>
      <c r="D9" s="449"/>
      <c r="E9" s="444"/>
      <c r="G9" s="33"/>
      <c r="H9"/>
    </row>
    <row r="10" spans="2:8" ht="81">
      <c r="B10" s="432" t="s">
        <v>106</v>
      </c>
      <c r="C10" s="144" t="s">
        <v>112</v>
      </c>
      <c r="D10" s="144" t="s">
        <v>128</v>
      </c>
      <c r="E10" s="149" t="s">
        <v>127</v>
      </c>
    </row>
    <row r="11" spans="2:8" ht="30">
      <c r="B11" s="433"/>
      <c r="C11" s="445" t="s">
        <v>182</v>
      </c>
      <c r="D11" s="145" t="s">
        <v>130</v>
      </c>
      <c r="E11" s="150" t="s">
        <v>201</v>
      </c>
    </row>
    <row r="12" spans="2:8" ht="30">
      <c r="B12" s="433"/>
      <c r="C12" s="446"/>
      <c r="D12" s="145" t="s">
        <v>131</v>
      </c>
      <c r="E12" s="150" t="s">
        <v>188</v>
      </c>
    </row>
    <row r="13" spans="2:8" ht="20.25">
      <c r="B13" s="433"/>
      <c r="C13" s="446"/>
      <c r="D13" s="146" t="s">
        <v>132</v>
      </c>
      <c r="E13" s="150" t="s">
        <v>129</v>
      </c>
    </row>
    <row r="14" spans="2:8" ht="81">
      <c r="B14" s="433"/>
      <c r="C14" s="146" t="s">
        <v>115</v>
      </c>
      <c r="D14" s="145" t="s">
        <v>133</v>
      </c>
      <c r="E14" s="151" t="s">
        <v>124</v>
      </c>
    </row>
    <row r="15" spans="2:8" ht="40.5">
      <c r="B15" s="433"/>
      <c r="C15" s="146" t="s">
        <v>113</v>
      </c>
      <c r="D15" s="145" t="s">
        <v>134</v>
      </c>
      <c r="E15" s="151" t="s">
        <v>189</v>
      </c>
    </row>
    <row r="16" spans="2:8" ht="41.25" thickBot="1">
      <c r="B16" s="434"/>
      <c r="C16" s="147" t="s">
        <v>114</v>
      </c>
      <c r="D16" s="147" t="s">
        <v>135</v>
      </c>
      <c r="E16" s="172" t="s">
        <v>190</v>
      </c>
    </row>
    <row r="17" spans="2:23" ht="30">
      <c r="B17" s="410" t="s">
        <v>599</v>
      </c>
      <c r="C17" s="408" t="s">
        <v>120</v>
      </c>
      <c r="D17" s="168" t="s">
        <v>140</v>
      </c>
      <c r="E17" s="169" t="s">
        <v>136</v>
      </c>
    </row>
    <row r="18" spans="2:23" ht="20.25">
      <c r="B18" s="411"/>
      <c r="C18" s="409"/>
      <c r="D18" s="141" t="s">
        <v>141</v>
      </c>
      <c r="E18" s="153" t="s">
        <v>137</v>
      </c>
    </row>
    <row r="19" spans="2:23" ht="30">
      <c r="B19" s="411"/>
      <c r="C19" s="142" t="s">
        <v>119</v>
      </c>
      <c r="D19" s="142" t="s">
        <v>142</v>
      </c>
      <c r="E19" s="154" t="s">
        <v>138</v>
      </c>
      <c r="I19" s="31"/>
      <c r="J19" s="31"/>
    </row>
    <row r="20" spans="2:23" ht="20.25">
      <c r="B20" s="411"/>
      <c r="C20" s="409" t="s">
        <v>118</v>
      </c>
      <c r="D20" s="142" t="s">
        <v>143</v>
      </c>
      <c r="E20" s="154" t="s">
        <v>180</v>
      </c>
      <c r="N20" s="428"/>
      <c r="O20" s="428"/>
      <c r="P20" s="428"/>
      <c r="Q20" s="428"/>
      <c r="R20" s="428"/>
      <c r="S20" s="428"/>
      <c r="T20" s="428"/>
      <c r="U20" s="428"/>
      <c r="V20" s="428"/>
      <c r="W20" s="428"/>
    </row>
    <row r="21" spans="2:23" ht="30">
      <c r="B21" s="411"/>
      <c r="C21" s="409"/>
      <c r="D21" s="137" t="s">
        <v>144</v>
      </c>
      <c r="E21" s="152" t="s">
        <v>191</v>
      </c>
      <c r="N21" s="428"/>
      <c r="O21" s="428"/>
      <c r="P21" s="428"/>
      <c r="Q21" s="428"/>
      <c r="R21" s="428"/>
      <c r="S21" s="428"/>
      <c r="T21" s="428"/>
      <c r="U21" s="428"/>
      <c r="V21" s="428"/>
      <c r="W21" s="428"/>
    </row>
    <row r="22" spans="2:23" ht="20.25">
      <c r="B22" s="411"/>
      <c r="C22" s="409"/>
      <c r="D22" s="141" t="s">
        <v>145</v>
      </c>
      <c r="E22" s="153" t="s">
        <v>139</v>
      </c>
      <c r="N22" s="428"/>
      <c r="O22" s="428"/>
      <c r="P22" s="428"/>
      <c r="Q22" s="428"/>
      <c r="R22" s="428"/>
      <c r="S22" s="428"/>
      <c r="T22" s="428"/>
      <c r="U22" s="428"/>
      <c r="V22" s="428"/>
      <c r="W22" s="428"/>
    </row>
    <row r="23" spans="2:23" ht="30">
      <c r="B23" s="411"/>
      <c r="C23" s="429" t="s">
        <v>121</v>
      </c>
      <c r="D23" s="142" t="s">
        <v>146</v>
      </c>
      <c r="E23" s="154" t="s">
        <v>181</v>
      </c>
      <c r="I23" s="31"/>
      <c r="J23" s="31"/>
      <c r="N23" s="428"/>
      <c r="O23" s="428"/>
      <c r="P23" s="428"/>
      <c r="Q23" s="428"/>
      <c r="R23" s="428"/>
      <c r="S23" s="428"/>
      <c r="T23" s="428"/>
      <c r="U23" s="428"/>
      <c r="V23" s="428"/>
      <c r="W23" s="428"/>
    </row>
    <row r="24" spans="2:23" ht="30.75" thickBot="1">
      <c r="B24" s="412"/>
      <c r="C24" s="430"/>
      <c r="D24" s="170" t="s">
        <v>147</v>
      </c>
      <c r="E24" s="171" t="s">
        <v>183</v>
      </c>
      <c r="I24" s="31"/>
      <c r="J24" s="31"/>
      <c r="N24" s="428"/>
      <c r="O24" s="428"/>
      <c r="P24" s="428"/>
      <c r="Q24" s="428"/>
      <c r="R24" s="428"/>
      <c r="S24" s="428"/>
      <c r="T24" s="428"/>
      <c r="U24" s="428"/>
      <c r="V24" s="428"/>
      <c r="W24" s="428"/>
    </row>
    <row r="25" spans="2:23" ht="81">
      <c r="B25" s="413" t="s">
        <v>107</v>
      </c>
      <c r="C25" s="173" t="s">
        <v>110</v>
      </c>
      <c r="D25" s="173" t="s">
        <v>148</v>
      </c>
      <c r="E25" s="174" t="s">
        <v>185</v>
      </c>
      <c r="I25" s="31"/>
      <c r="J25" s="31"/>
      <c r="N25" s="132"/>
      <c r="O25" s="132"/>
      <c r="P25" s="132"/>
      <c r="Q25" s="132"/>
      <c r="R25" s="132"/>
      <c r="S25" s="132"/>
      <c r="T25" s="132"/>
      <c r="U25" s="132"/>
      <c r="V25" s="132"/>
      <c r="W25" s="132"/>
    </row>
    <row r="26" spans="2:23" ht="33.6" customHeight="1">
      <c r="B26" s="414"/>
      <c r="C26" s="415" t="s">
        <v>111</v>
      </c>
      <c r="D26" s="148" t="s">
        <v>149</v>
      </c>
      <c r="E26" s="165" t="s">
        <v>193</v>
      </c>
      <c r="N26" s="120"/>
    </row>
    <row r="27" spans="2:23" ht="35.1" customHeight="1">
      <c r="B27" s="414"/>
      <c r="C27" s="415"/>
      <c r="D27" s="148" t="s">
        <v>192</v>
      </c>
      <c r="E27" s="165" t="s">
        <v>194</v>
      </c>
      <c r="N27" s="120"/>
    </row>
    <row r="28" spans="2:23" ht="40.5">
      <c r="B28" s="414"/>
      <c r="C28" s="138" t="s">
        <v>109</v>
      </c>
      <c r="D28" s="138" t="s">
        <v>150</v>
      </c>
      <c r="E28" s="155" t="s">
        <v>195</v>
      </c>
      <c r="N28" s="120"/>
    </row>
    <row r="29" spans="2:23" ht="41.25" thickBot="1">
      <c r="B29" s="414"/>
      <c r="C29" s="143" t="s">
        <v>186</v>
      </c>
      <c r="D29" s="143" t="s">
        <v>151</v>
      </c>
      <c r="E29" s="156" t="s">
        <v>184</v>
      </c>
      <c r="N29" s="120"/>
    </row>
    <row r="30" spans="2:23" ht="20.25">
      <c r="B30" s="416" t="s">
        <v>108</v>
      </c>
      <c r="C30" s="431" t="s">
        <v>198</v>
      </c>
      <c r="D30" s="162" t="s">
        <v>153</v>
      </c>
      <c r="E30" s="175" t="s">
        <v>152</v>
      </c>
      <c r="N30" s="120"/>
    </row>
    <row r="31" spans="2:23" ht="26.25">
      <c r="B31" s="417"/>
      <c r="C31" s="420"/>
      <c r="D31" s="139" t="s">
        <v>154</v>
      </c>
      <c r="E31" s="157" t="s">
        <v>196</v>
      </c>
      <c r="G31" s="31"/>
      <c r="N31" s="121"/>
    </row>
    <row r="32" spans="2:23" ht="20.25">
      <c r="B32" s="417"/>
      <c r="C32" s="419" t="s">
        <v>197</v>
      </c>
      <c r="D32" s="136" t="s">
        <v>155</v>
      </c>
      <c r="E32" s="158" t="s">
        <v>156</v>
      </c>
      <c r="G32" s="31"/>
      <c r="N32" s="120"/>
    </row>
    <row r="33" spans="2:26" ht="20.25">
      <c r="B33" s="417"/>
      <c r="C33" s="420"/>
      <c r="D33" s="140" t="s">
        <v>157</v>
      </c>
      <c r="E33" s="159" t="s">
        <v>187</v>
      </c>
      <c r="N33" s="120"/>
    </row>
    <row r="34" spans="2:26" ht="21" thickBot="1">
      <c r="B34" s="418"/>
      <c r="C34" s="421"/>
      <c r="D34" s="176" t="s">
        <v>158</v>
      </c>
      <c r="E34" s="177" t="s">
        <v>159</v>
      </c>
      <c r="N34" s="120"/>
    </row>
    <row r="35" spans="2:26" ht="40.5">
      <c r="B35" s="422" t="s">
        <v>123</v>
      </c>
      <c r="C35" s="134" t="s">
        <v>164</v>
      </c>
      <c r="D35" s="134" t="s">
        <v>161</v>
      </c>
      <c r="E35" s="160" t="s">
        <v>164</v>
      </c>
      <c r="N35" s="120"/>
    </row>
    <row r="36" spans="2:26" ht="30">
      <c r="B36" s="423"/>
      <c r="C36" s="425" t="s">
        <v>116</v>
      </c>
      <c r="D36" s="163" t="s">
        <v>162</v>
      </c>
      <c r="E36" s="164" t="s">
        <v>199</v>
      </c>
      <c r="N36" s="120"/>
    </row>
    <row r="37" spans="2:26" ht="48.75" customHeight="1">
      <c r="B37" s="423"/>
      <c r="C37" s="425"/>
      <c r="D37" s="135" t="s">
        <v>163</v>
      </c>
      <c r="E37" s="161" t="s">
        <v>160</v>
      </c>
      <c r="N37" s="120"/>
    </row>
    <row r="38" spans="2:26" ht="40.5">
      <c r="B38" s="423"/>
      <c r="C38" s="135" t="s">
        <v>117</v>
      </c>
      <c r="D38" s="135" t="s">
        <v>167</v>
      </c>
      <c r="E38" s="161" t="s">
        <v>125</v>
      </c>
      <c r="N38" s="120"/>
    </row>
    <row r="39" spans="2:26" ht="20.25">
      <c r="B39" s="423"/>
      <c r="C39" s="426" t="s">
        <v>122</v>
      </c>
      <c r="D39" s="135" t="s">
        <v>168</v>
      </c>
      <c r="E39" s="161" t="s">
        <v>126</v>
      </c>
      <c r="N39" s="120"/>
    </row>
    <row r="40" spans="2:26" ht="27" thickBot="1">
      <c r="B40" s="424"/>
      <c r="C40" s="427"/>
      <c r="D40" s="166" t="s">
        <v>165</v>
      </c>
      <c r="E40" s="167" t="s">
        <v>166</v>
      </c>
      <c r="N40" s="132"/>
      <c r="O40" s="132"/>
      <c r="P40" s="132"/>
      <c r="Q40" s="132"/>
      <c r="R40" s="132"/>
      <c r="S40" s="132"/>
      <c r="T40" s="132"/>
      <c r="U40" s="132"/>
      <c r="V40" s="132"/>
      <c r="W40" s="132"/>
      <c r="X40" s="132"/>
      <c r="Y40" s="132"/>
      <c r="Z40" s="132"/>
    </row>
  </sheetData>
  <sheetProtection sheet="1" insertColumns="0" insertRows="0" autoFilter="0"/>
  <mergeCells count="22">
    <mergeCell ref="B10:B16"/>
    <mergeCell ref="B3:E3"/>
    <mergeCell ref="B4:E4"/>
    <mergeCell ref="B5:E5"/>
    <mergeCell ref="B7:B9"/>
    <mergeCell ref="C7:C9"/>
    <mergeCell ref="E7:E9"/>
    <mergeCell ref="C11:C13"/>
    <mergeCell ref="D7:D9"/>
    <mergeCell ref="B35:B40"/>
    <mergeCell ref="C36:C37"/>
    <mergeCell ref="C39:C40"/>
    <mergeCell ref="N20:W24"/>
    <mergeCell ref="C23:C24"/>
    <mergeCell ref="C20:C22"/>
    <mergeCell ref="C30:C31"/>
    <mergeCell ref="C17:C18"/>
    <mergeCell ref="B17:B24"/>
    <mergeCell ref="B25:B29"/>
    <mergeCell ref="C26:C27"/>
    <mergeCell ref="B30:B34"/>
    <mergeCell ref="C32:C34"/>
  </mergeCells>
  <phoneticPr fontId="34" type="noConversion"/>
  <pageMargins left="0.70866141732283505" right="0.70866141732283505" top="0.74803149606299202" bottom="0.74803149606299202" header="0.31496062992126" footer="0.31496062992126"/>
  <pageSetup paperSize="8" scale="2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D9D9"/>
  </sheetPr>
  <dimension ref="B3:AL54"/>
  <sheetViews>
    <sheetView showGridLines="0" view="pageBreakPreview" zoomScale="30" zoomScaleNormal="40" zoomScaleSheetLayoutView="30" workbookViewId="0">
      <pane ySplit="9" topLeftCell="A10" activePane="bottomLeft" state="frozen"/>
      <selection pane="bottomLeft" sqref="A1:Z52"/>
    </sheetView>
  </sheetViews>
  <sheetFormatPr baseColWidth="10" defaultColWidth="9.28515625" defaultRowHeight="15"/>
  <cols>
    <col min="1" max="1" width="5.7109375" customWidth="1"/>
    <col min="2" max="3" width="55.5703125" customWidth="1"/>
    <col min="4" max="4" width="94.7109375" customWidth="1"/>
    <col min="5" max="6" width="18.5703125" customWidth="1"/>
    <col min="7" max="8" width="16.5703125" customWidth="1"/>
    <col min="9" max="9" width="47" customWidth="1"/>
    <col min="10" max="12" width="21.28515625" customWidth="1"/>
    <col min="13" max="13" width="36.5703125" customWidth="1"/>
    <col min="14" max="14" width="21.28515625" customWidth="1"/>
    <col min="15" max="15" width="25.7109375" customWidth="1"/>
    <col min="16" max="16" width="72.28515625" customWidth="1"/>
    <col min="17" max="17" width="15.5703125" customWidth="1"/>
    <col min="18" max="18" width="12.42578125" customWidth="1"/>
    <col min="19" max="19" width="12.5703125" customWidth="1"/>
    <col min="20" max="21" width="12.42578125" customWidth="1"/>
    <col min="22" max="23" width="13" customWidth="1"/>
    <col min="24" max="26" width="13.5703125" customWidth="1"/>
    <col min="27" max="27" width="3.42578125" customWidth="1"/>
    <col min="28" max="28" width="20.42578125" hidden="1" customWidth="1"/>
    <col min="29" max="29" width="36.7109375" hidden="1" customWidth="1"/>
    <col min="30" max="30" width="31.42578125" hidden="1" customWidth="1"/>
    <col min="31" max="31" width="18.7109375" hidden="1" customWidth="1"/>
    <col min="32" max="32" width="14.5703125" hidden="1" customWidth="1"/>
    <col min="33" max="38" width="9.28515625" hidden="1" customWidth="1"/>
    <col min="39" max="41" width="9.28515625" customWidth="1"/>
  </cols>
  <sheetData>
    <row r="3" spans="2:35" ht="35.25" customHeight="1">
      <c r="D3" s="403" t="s">
        <v>85</v>
      </c>
      <c r="E3" s="404"/>
      <c r="F3" s="404"/>
      <c r="G3" s="404"/>
      <c r="H3" s="404"/>
      <c r="I3" s="404"/>
      <c r="J3" s="404"/>
      <c r="K3" s="404"/>
      <c r="L3" s="404"/>
      <c r="M3" s="404"/>
      <c r="N3" s="404"/>
      <c r="O3" s="404"/>
      <c r="P3" s="404"/>
      <c r="Q3" s="518"/>
    </row>
    <row r="4" spans="2:35" ht="21.75" customHeight="1">
      <c r="D4" s="406" t="s">
        <v>3</v>
      </c>
      <c r="E4" s="407"/>
      <c r="F4" s="407"/>
      <c r="G4" s="407"/>
      <c r="H4" s="407"/>
      <c r="I4" s="407"/>
      <c r="J4" s="407"/>
      <c r="K4" s="407"/>
      <c r="L4" s="407"/>
      <c r="M4" s="407"/>
      <c r="N4" s="407"/>
      <c r="O4" s="407"/>
      <c r="P4" s="407"/>
      <c r="Q4" s="519"/>
    </row>
    <row r="5" spans="2:35" ht="15.75">
      <c r="B5" s="3"/>
      <c r="C5" s="3"/>
      <c r="D5" s="402" t="s">
        <v>758</v>
      </c>
      <c r="E5" s="520"/>
      <c r="F5" s="520"/>
      <c r="G5" s="520"/>
      <c r="H5" s="520"/>
      <c r="I5" s="520"/>
      <c r="J5" s="520"/>
      <c r="K5" s="520"/>
      <c r="L5" s="520"/>
      <c r="M5" s="520"/>
      <c r="N5" s="520"/>
      <c r="O5" s="520"/>
      <c r="P5" s="521"/>
      <c r="Q5" s="522"/>
    </row>
    <row r="6" spans="2:35" ht="15.75" thickBot="1"/>
    <row r="7" spans="2:35" ht="38.1" customHeight="1">
      <c r="B7" s="439" t="s">
        <v>4</v>
      </c>
      <c r="C7" s="439" t="s">
        <v>21</v>
      </c>
      <c r="D7" s="526" t="s">
        <v>5</v>
      </c>
      <c r="E7" s="523" t="s">
        <v>22</v>
      </c>
      <c r="F7" s="524"/>
      <c r="G7" s="524"/>
      <c r="H7" s="524"/>
      <c r="I7" s="524"/>
      <c r="J7" s="525"/>
      <c r="K7" s="526" t="s">
        <v>14</v>
      </c>
      <c r="L7" s="527"/>
      <c r="M7" s="528"/>
      <c r="N7" s="495" t="s">
        <v>16</v>
      </c>
      <c r="O7" s="498" t="s">
        <v>15</v>
      </c>
      <c r="P7" s="439" t="s">
        <v>6</v>
      </c>
      <c r="Q7" s="456" t="s">
        <v>7</v>
      </c>
      <c r="R7" s="450" t="s">
        <v>381</v>
      </c>
      <c r="S7" s="451"/>
      <c r="T7" s="451"/>
      <c r="U7" s="451"/>
      <c r="V7" s="451"/>
      <c r="W7" s="451"/>
      <c r="X7" s="451"/>
      <c r="Y7" s="451"/>
      <c r="Z7" s="452"/>
    </row>
    <row r="8" spans="2:35" ht="30.6" customHeight="1">
      <c r="B8" s="440"/>
      <c r="C8" s="440"/>
      <c r="D8" s="546"/>
      <c r="E8" s="529" t="s">
        <v>8</v>
      </c>
      <c r="F8" s="530"/>
      <c r="G8" s="128"/>
      <c r="H8" s="122"/>
      <c r="I8" s="122"/>
      <c r="J8" s="130"/>
      <c r="K8" s="529" t="s">
        <v>100</v>
      </c>
      <c r="L8" s="532" t="s">
        <v>23</v>
      </c>
      <c r="M8" s="534" t="s">
        <v>101</v>
      </c>
      <c r="N8" s="496"/>
      <c r="O8" s="499"/>
      <c r="P8" s="440"/>
      <c r="Q8" s="457"/>
      <c r="R8" s="453"/>
      <c r="S8" s="454"/>
      <c r="T8" s="454"/>
      <c r="U8" s="454"/>
      <c r="V8" s="454"/>
      <c r="W8" s="454"/>
      <c r="X8" s="454"/>
      <c r="Y8" s="454"/>
      <c r="Z8" s="455"/>
      <c r="AB8" s="1" t="s">
        <v>436</v>
      </c>
      <c r="AC8" s="1"/>
    </row>
    <row r="9" spans="2:35" s="2" customFormat="1" ht="50.25" customHeight="1" thickBot="1">
      <c r="B9" s="440"/>
      <c r="C9" s="440"/>
      <c r="D9" s="546"/>
      <c r="E9" s="216" t="s">
        <v>103</v>
      </c>
      <c r="F9" s="129" t="s">
        <v>104</v>
      </c>
      <c r="G9" s="129" t="s">
        <v>9</v>
      </c>
      <c r="H9" s="126" t="s">
        <v>102</v>
      </c>
      <c r="I9" s="126" t="s">
        <v>13</v>
      </c>
      <c r="J9" s="131" t="s">
        <v>10</v>
      </c>
      <c r="K9" s="531"/>
      <c r="L9" s="533"/>
      <c r="M9" s="535"/>
      <c r="N9" s="496"/>
      <c r="O9" s="499"/>
      <c r="P9" s="440"/>
      <c r="Q9" s="458"/>
      <c r="R9" s="237">
        <v>2022</v>
      </c>
      <c r="S9" s="34">
        <v>2023</v>
      </c>
      <c r="T9" s="5">
        <v>2024</v>
      </c>
      <c r="U9" s="5" t="s">
        <v>92</v>
      </c>
      <c r="V9" s="35">
        <v>2026</v>
      </c>
      <c r="W9" s="35">
        <v>2027</v>
      </c>
      <c r="X9" s="211" t="s">
        <v>94</v>
      </c>
      <c r="Y9" s="35">
        <v>2029</v>
      </c>
      <c r="Z9" s="35">
        <v>2030</v>
      </c>
      <c r="AB9" s="249" t="s">
        <v>440</v>
      </c>
      <c r="AC9" s="249" t="s">
        <v>577</v>
      </c>
      <c r="AD9" s="249" t="s">
        <v>437</v>
      </c>
      <c r="AE9" s="249" t="s">
        <v>438</v>
      </c>
      <c r="AF9" s="249" t="s">
        <v>439</v>
      </c>
      <c r="AG9" s="243"/>
      <c r="AH9" s="243"/>
      <c r="AI9" s="243"/>
    </row>
    <row r="10" spans="2:35" ht="15" customHeight="1">
      <c r="B10" s="536" t="s">
        <v>171</v>
      </c>
      <c r="C10" s="548" t="s">
        <v>112</v>
      </c>
      <c r="D10" s="554" t="s">
        <v>200</v>
      </c>
      <c r="E10" s="461" t="s">
        <v>586</v>
      </c>
      <c r="F10" s="500" t="s">
        <v>384</v>
      </c>
      <c r="G10" s="500" t="s">
        <v>382</v>
      </c>
      <c r="H10" s="550"/>
      <c r="I10" s="508" t="s">
        <v>385</v>
      </c>
      <c r="J10" s="505" t="s">
        <v>387</v>
      </c>
      <c r="K10" s="475" t="s">
        <v>452</v>
      </c>
      <c r="L10" s="475" t="s">
        <v>453</v>
      </c>
      <c r="M10" s="475" t="s">
        <v>454</v>
      </c>
      <c r="N10" s="475" t="s">
        <v>451</v>
      </c>
      <c r="O10" s="492" t="s">
        <v>455</v>
      </c>
      <c r="P10" s="9" t="s">
        <v>232</v>
      </c>
      <c r="Q10" s="233" t="s">
        <v>231</v>
      </c>
      <c r="R10" s="293"/>
      <c r="S10" s="257"/>
      <c r="T10" s="257"/>
      <c r="U10" s="257"/>
      <c r="V10" s="267"/>
      <c r="W10" s="267"/>
      <c r="X10" s="267"/>
      <c r="Y10" s="267"/>
      <c r="Z10" s="267"/>
      <c r="AB10" s="244"/>
      <c r="AC10" s="244"/>
      <c r="AD10" s="244"/>
      <c r="AE10" s="244"/>
      <c r="AF10" s="244"/>
    </row>
    <row r="11" spans="2:35" ht="15" customHeight="1">
      <c r="B11" s="537"/>
      <c r="C11" s="542"/>
      <c r="D11" s="555"/>
      <c r="E11" s="462"/>
      <c r="F11" s="501"/>
      <c r="G11" s="503"/>
      <c r="H11" s="482"/>
      <c r="I11" s="509"/>
      <c r="J11" s="506"/>
      <c r="K11" s="476"/>
      <c r="L11" s="476"/>
      <c r="M11" s="476"/>
      <c r="N11" s="476"/>
      <c r="O11" s="493"/>
      <c r="P11" s="36" t="s">
        <v>233</v>
      </c>
      <c r="Q11" s="203" t="s">
        <v>231</v>
      </c>
      <c r="R11" s="283"/>
      <c r="S11" s="258"/>
      <c r="T11" s="258"/>
      <c r="U11" s="258"/>
      <c r="V11" s="287"/>
      <c r="W11" s="287"/>
      <c r="X11" s="287"/>
      <c r="Y11" s="287"/>
      <c r="Z11" s="287"/>
      <c r="AB11" s="244"/>
      <c r="AC11" s="244"/>
      <c r="AD11" s="244"/>
      <c r="AE11" s="244"/>
      <c r="AF11" s="244"/>
    </row>
    <row r="12" spans="2:35" ht="15" customHeight="1">
      <c r="B12" s="537"/>
      <c r="C12" s="542"/>
      <c r="D12" s="555"/>
      <c r="E12" s="462"/>
      <c r="F12" s="501"/>
      <c r="G12" s="503"/>
      <c r="H12" s="482"/>
      <c r="I12" s="509"/>
      <c r="J12" s="506"/>
      <c r="K12" s="476"/>
      <c r="L12" s="476"/>
      <c r="M12" s="476"/>
      <c r="N12" s="476"/>
      <c r="O12" s="493"/>
      <c r="P12" s="10" t="s">
        <v>234</v>
      </c>
      <c r="Q12" s="210" t="s">
        <v>370</v>
      </c>
      <c r="R12" s="283"/>
      <c r="S12" s="258"/>
      <c r="T12" s="258"/>
      <c r="U12" s="258"/>
      <c r="V12" s="287"/>
      <c r="W12" s="287"/>
      <c r="X12" s="287"/>
      <c r="Y12" s="287"/>
      <c r="Z12" s="287"/>
      <c r="AB12" s="245"/>
      <c r="AC12" s="245"/>
      <c r="AD12" s="244"/>
      <c r="AE12" s="244"/>
      <c r="AF12" s="244"/>
    </row>
    <row r="13" spans="2:35" ht="15" customHeight="1">
      <c r="B13" s="537"/>
      <c r="C13" s="542"/>
      <c r="D13" s="555"/>
      <c r="E13" s="462"/>
      <c r="F13" s="501"/>
      <c r="G13" s="503"/>
      <c r="H13" s="482"/>
      <c r="I13" s="509"/>
      <c r="J13" s="506"/>
      <c r="K13" s="476"/>
      <c r="L13" s="476"/>
      <c r="M13" s="476"/>
      <c r="N13" s="476"/>
      <c r="O13" s="493"/>
      <c r="P13" s="10" t="s">
        <v>235</v>
      </c>
      <c r="Q13" s="210" t="s">
        <v>370</v>
      </c>
      <c r="R13" s="283"/>
      <c r="S13" s="258"/>
      <c r="T13" s="258"/>
      <c r="U13" s="258"/>
      <c r="V13" s="287"/>
      <c r="W13" s="287"/>
      <c r="X13" s="287"/>
      <c r="Y13" s="287"/>
      <c r="Z13" s="287"/>
      <c r="AB13" s="244"/>
      <c r="AC13" s="244"/>
      <c r="AD13" s="244"/>
      <c r="AE13" s="244"/>
      <c r="AF13" s="244"/>
    </row>
    <row r="14" spans="2:35" ht="15" customHeight="1">
      <c r="B14" s="537"/>
      <c r="C14" s="542"/>
      <c r="D14" s="555"/>
      <c r="E14" s="462"/>
      <c r="F14" s="501"/>
      <c r="G14" s="503"/>
      <c r="H14" s="482"/>
      <c r="I14" s="509"/>
      <c r="J14" s="506"/>
      <c r="K14" s="476"/>
      <c r="L14" s="476"/>
      <c r="M14" s="476"/>
      <c r="N14" s="476"/>
      <c r="O14" s="493"/>
      <c r="P14" s="10" t="s">
        <v>236</v>
      </c>
      <c r="Q14" s="210" t="s">
        <v>370</v>
      </c>
      <c r="R14" s="283"/>
      <c r="S14" s="258"/>
      <c r="T14" s="258"/>
      <c r="U14" s="258"/>
      <c r="V14" s="287"/>
      <c r="W14" s="287"/>
      <c r="X14" s="287"/>
      <c r="Y14" s="287"/>
      <c r="Z14" s="287"/>
      <c r="AB14" s="244"/>
      <c r="AC14" s="244"/>
      <c r="AD14" s="244"/>
      <c r="AE14" s="244"/>
      <c r="AF14" s="244"/>
    </row>
    <row r="15" spans="2:35" ht="15" customHeight="1">
      <c r="B15" s="537"/>
      <c r="C15" s="542"/>
      <c r="D15" s="555"/>
      <c r="E15" s="462"/>
      <c r="F15" s="501"/>
      <c r="G15" s="503"/>
      <c r="H15" s="482"/>
      <c r="I15" s="509"/>
      <c r="J15" s="506"/>
      <c r="K15" s="476"/>
      <c r="L15" s="476"/>
      <c r="M15" s="476"/>
      <c r="N15" s="476"/>
      <c r="O15" s="493"/>
      <c r="P15" s="10" t="s">
        <v>237</v>
      </c>
      <c r="Q15" s="210" t="s">
        <v>371</v>
      </c>
      <c r="R15" s="283"/>
      <c r="S15" s="258"/>
      <c r="T15" s="258"/>
      <c r="U15" s="258"/>
      <c r="V15" s="287"/>
      <c r="W15" s="287"/>
      <c r="X15" s="287"/>
      <c r="Y15" s="287"/>
      <c r="Z15" s="287"/>
      <c r="AB15" s="244"/>
      <c r="AC15" s="244"/>
      <c r="AD15" s="244"/>
      <c r="AE15" s="244"/>
      <c r="AF15" s="244"/>
    </row>
    <row r="16" spans="2:35" ht="15" customHeight="1">
      <c r="B16" s="537"/>
      <c r="C16" s="542"/>
      <c r="D16" s="555"/>
      <c r="E16" s="462"/>
      <c r="F16" s="501"/>
      <c r="G16" s="503"/>
      <c r="H16" s="482"/>
      <c r="I16" s="509"/>
      <c r="J16" s="506"/>
      <c r="K16" s="476"/>
      <c r="L16" s="476"/>
      <c r="M16" s="476"/>
      <c r="N16" s="476"/>
      <c r="O16" s="493"/>
      <c r="P16" s="10" t="s">
        <v>753</v>
      </c>
      <c r="Q16" s="387" t="s">
        <v>754</v>
      </c>
      <c r="R16" s="285"/>
      <c r="S16" s="278"/>
      <c r="T16" s="278"/>
      <c r="U16" s="278"/>
      <c r="V16" s="288"/>
      <c r="W16" s="288"/>
      <c r="X16" s="288"/>
      <c r="Y16" s="288"/>
      <c r="Z16" s="288"/>
      <c r="AB16" s="244"/>
      <c r="AC16" s="244"/>
      <c r="AD16" s="244"/>
      <c r="AE16" s="244"/>
      <c r="AF16" s="244"/>
    </row>
    <row r="17" spans="2:36" ht="15" customHeight="1">
      <c r="B17" s="537"/>
      <c r="C17" s="557"/>
      <c r="D17" s="556"/>
      <c r="E17" s="463"/>
      <c r="F17" s="502"/>
      <c r="G17" s="504"/>
      <c r="H17" s="482"/>
      <c r="I17" s="510"/>
      <c r="J17" s="507"/>
      <c r="K17" s="497"/>
      <c r="L17" s="497"/>
      <c r="M17" s="497"/>
      <c r="N17" s="497"/>
      <c r="O17" s="494"/>
      <c r="P17" s="10" t="s">
        <v>238</v>
      </c>
      <c r="Q17" s="210" t="s">
        <v>372</v>
      </c>
      <c r="R17" s="259"/>
      <c r="S17" s="260"/>
      <c r="T17" s="260"/>
      <c r="U17" s="260"/>
      <c r="V17" s="250"/>
      <c r="W17" s="250"/>
      <c r="X17" s="250"/>
      <c r="Y17" s="250"/>
      <c r="Z17" s="250"/>
      <c r="AB17" s="245"/>
      <c r="AC17" s="245"/>
      <c r="AD17" s="244"/>
      <c r="AE17" s="244"/>
      <c r="AF17" s="244"/>
    </row>
    <row r="18" spans="2:36" ht="15" customHeight="1">
      <c r="B18" s="537"/>
      <c r="C18" s="541" t="s">
        <v>182</v>
      </c>
      <c r="D18" s="459" t="s">
        <v>202</v>
      </c>
      <c r="E18" s="461" t="s">
        <v>383</v>
      </c>
      <c r="F18" s="484" t="s">
        <v>384</v>
      </c>
      <c r="G18" s="214"/>
      <c r="H18" s="217"/>
      <c r="I18" s="511" t="s">
        <v>549</v>
      </c>
      <c r="J18" s="464" t="s">
        <v>387</v>
      </c>
      <c r="K18" s="475" t="s">
        <v>458</v>
      </c>
      <c r="L18" s="475" t="s">
        <v>459</v>
      </c>
      <c r="M18" s="475" t="s">
        <v>457</v>
      </c>
      <c r="N18" s="475" t="s">
        <v>451</v>
      </c>
      <c r="O18" s="473" t="s">
        <v>456</v>
      </c>
      <c r="P18" s="10" t="s">
        <v>239</v>
      </c>
      <c r="Q18" s="210" t="s">
        <v>231</v>
      </c>
      <c r="R18" s="283"/>
      <c r="S18" s="258"/>
      <c r="T18" s="258"/>
      <c r="U18" s="258"/>
      <c r="V18" s="287"/>
      <c r="W18" s="287"/>
      <c r="X18" s="287"/>
      <c r="Y18" s="287"/>
      <c r="Z18" s="287"/>
      <c r="AB18" s="244"/>
      <c r="AC18" s="244"/>
      <c r="AD18" s="244"/>
      <c r="AE18" s="244"/>
      <c r="AF18" s="244"/>
    </row>
    <row r="19" spans="2:36" ht="15" customHeight="1">
      <c r="B19" s="537"/>
      <c r="C19" s="542"/>
      <c r="D19" s="460"/>
      <c r="E19" s="462"/>
      <c r="F19" s="514"/>
      <c r="G19" s="212"/>
      <c r="H19" s="218"/>
      <c r="I19" s="512"/>
      <c r="J19" s="465"/>
      <c r="K19" s="476"/>
      <c r="L19" s="476"/>
      <c r="M19" s="476"/>
      <c r="N19" s="476"/>
      <c r="O19" s="474"/>
      <c r="P19" s="10" t="s">
        <v>240</v>
      </c>
      <c r="Q19" s="210" t="s">
        <v>231</v>
      </c>
      <c r="R19" s="283"/>
      <c r="S19" s="258"/>
      <c r="T19" s="258"/>
      <c r="U19" s="258"/>
      <c r="V19" s="287"/>
      <c r="W19" s="287"/>
      <c r="X19" s="287"/>
      <c r="Y19" s="287"/>
      <c r="Z19" s="287"/>
      <c r="AB19" s="244"/>
      <c r="AC19" s="244"/>
      <c r="AD19" s="244"/>
      <c r="AE19" s="244"/>
      <c r="AF19" s="244"/>
    </row>
    <row r="20" spans="2:36" ht="15" customHeight="1">
      <c r="B20" s="537"/>
      <c r="C20" s="542"/>
      <c r="D20" s="460"/>
      <c r="E20" s="462"/>
      <c r="F20" s="514"/>
      <c r="G20" s="212"/>
      <c r="H20" s="218"/>
      <c r="I20" s="512"/>
      <c r="J20" s="465"/>
      <c r="K20" s="476"/>
      <c r="L20" s="476"/>
      <c r="M20" s="476"/>
      <c r="N20" s="476"/>
      <c r="O20" s="474"/>
      <c r="P20" s="10" t="s">
        <v>241</v>
      </c>
      <c r="Q20" s="210" t="s">
        <v>231</v>
      </c>
      <c r="R20" s="283"/>
      <c r="S20" s="258"/>
      <c r="T20" s="258"/>
      <c r="U20" s="258"/>
      <c r="V20" s="287"/>
      <c r="W20" s="287"/>
      <c r="X20" s="287"/>
      <c r="Y20" s="287"/>
      <c r="Z20" s="287"/>
      <c r="AB20" s="244"/>
      <c r="AC20" s="244"/>
      <c r="AD20" s="244"/>
      <c r="AE20" s="244"/>
      <c r="AF20" s="244"/>
    </row>
    <row r="21" spans="2:36" ht="15" customHeight="1">
      <c r="B21" s="537"/>
      <c r="C21" s="542"/>
      <c r="D21" s="460"/>
      <c r="E21" s="462"/>
      <c r="F21" s="514"/>
      <c r="G21" s="212"/>
      <c r="H21" s="218"/>
      <c r="I21" s="512"/>
      <c r="J21" s="465"/>
      <c r="K21" s="476"/>
      <c r="L21" s="476"/>
      <c r="M21" s="476"/>
      <c r="N21" s="476"/>
      <c r="O21" s="474"/>
      <c r="P21" s="10" t="s">
        <v>747</v>
      </c>
      <c r="Q21" s="387" t="s">
        <v>376</v>
      </c>
      <c r="R21" s="285"/>
      <c r="S21" s="278"/>
      <c r="T21" s="278"/>
      <c r="U21" s="278"/>
      <c r="V21" s="288"/>
      <c r="W21" s="288"/>
      <c r="X21" s="288"/>
      <c r="Y21" s="279"/>
      <c r="Z21" s="288"/>
      <c r="AB21" s="244"/>
      <c r="AC21" s="244"/>
      <c r="AD21" s="244"/>
      <c r="AE21" s="244"/>
      <c r="AF21" s="244"/>
    </row>
    <row r="22" spans="2:36">
      <c r="B22" s="537"/>
      <c r="C22" s="542"/>
      <c r="D22" s="460"/>
      <c r="E22" s="463"/>
      <c r="F22" s="514"/>
      <c r="G22" s="212"/>
      <c r="H22" s="218"/>
      <c r="I22" s="513"/>
      <c r="J22" s="466"/>
      <c r="K22" s="476"/>
      <c r="L22" s="476"/>
      <c r="M22" s="476"/>
      <c r="N22" s="476"/>
      <c r="O22" s="474"/>
      <c r="P22" s="13" t="s">
        <v>242</v>
      </c>
      <c r="Q22" s="234" t="s">
        <v>231</v>
      </c>
      <c r="R22" s="266"/>
      <c r="S22" s="261"/>
      <c r="T22" s="261"/>
      <c r="U22" s="261"/>
      <c r="V22" s="290"/>
      <c r="W22" s="290"/>
      <c r="X22" s="290"/>
      <c r="Y22" s="294"/>
      <c r="Z22" s="288"/>
      <c r="AB22" s="244"/>
      <c r="AC22" s="244"/>
      <c r="AD22" s="244"/>
      <c r="AE22" s="244"/>
      <c r="AF22" s="244"/>
    </row>
    <row r="23" spans="2:36" ht="15" customHeight="1">
      <c r="B23" s="537"/>
      <c r="C23" s="542"/>
      <c r="D23" s="459" t="s">
        <v>203</v>
      </c>
      <c r="E23" s="461" t="s">
        <v>589</v>
      </c>
      <c r="F23" s="484" t="s">
        <v>588</v>
      </c>
      <c r="G23" s="214"/>
      <c r="H23" s="214"/>
      <c r="I23" s="511" t="s">
        <v>386</v>
      </c>
      <c r="J23" s="464" t="s">
        <v>387</v>
      </c>
      <c r="K23" s="467" t="s">
        <v>458</v>
      </c>
      <c r="L23" s="467" t="s">
        <v>459</v>
      </c>
      <c r="M23" s="467" t="s">
        <v>462</v>
      </c>
      <c r="N23" s="467" t="s">
        <v>461</v>
      </c>
      <c r="O23" s="480" t="s">
        <v>460</v>
      </c>
      <c r="P23" s="11" t="s">
        <v>243</v>
      </c>
      <c r="Q23" s="205" t="s">
        <v>231</v>
      </c>
      <c r="R23" s="283"/>
      <c r="S23" s="272"/>
      <c r="T23" s="262"/>
      <c r="U23" s="262"/>
      <c r="V23" s="291"/>
      <c r="W23" s="291"/>
      <c r="X23" s="291"/>
      <c r="Y23" s="291"/>
      <c r="Z23" s="295"/>
      <c r="AB23" s="244"/>
      <c r="AC23" s="244"/>
      <c r="AD23" s="244"/>
      <c r="AE23" s="244"/>
      <c r="AF23" s="244"/>
    </row>
    <row r="24" spans="2:36" ht="15" customHeight="1">
      <c r="B24" s="537"/>
      <c r="C24" s="542"/>
      <c r="D24" s="460"/>
      <c r="E24" s="462"/>
      <c r="F24" s="514"/>
      <c r="G24" s="212"/>
      <c r="H24" s="212"/>
      <c r="I24" s="503"/>
      <c r="J24" s="465"/>
      <c r="K24" s="468"/>
      <c r="L24" s="468"/>
      <c r="M24" s="468"/>
      <c r="N24" s="468"/>
      <c r="O24" s="481"/>
      <c r="P24" s="11" t="s">
        <v>374</v>
      </c>
      <c r="Q24" s="210" t="s">
        <v>231</v>
      </c>
      <c r="R24" s="296"/>
      <c r="S24" s="297"/>
      <c r="T24" s="263"/>
      <c r="U24" s="263"/>
      <c r="V24" s="292"/>
      <c r="W24" s="292"/>
      <c r="X24" s="292"/>
      <c r="Y24" s="292"/>
      <c r="Z24" s="292"/>
      <c r="AB24" s="244"/>
      <c r="AC24" s="244"/>
      <c r="AD24" s="244"/>
      <c r="AE24" s="244"/>
      <c r="AF24" s="244"/>
    </row>
    <row r="25" spans="2:36" ht="15" customHeight="1">
      <c r="B25" s="537"/>
      <c r="C25" s="542"/>
      <c r="D25" s="460"/>
      <c r="E25" s="462"/>
      <c r="F25" s="514"/>
      <c r="G25" s="212"/>
      <c r="H25" s="212"/>
      <c r="I25" s="503"/>
      <c r="J25" s="465"/>
      <c r="K25" s="468"/>
      <c r="L25" s="468"/>
      <c r="M25" s="468"/>
      <c r="N25" s="468"/>
      <c r="O25" s="481"/>
      <c r="P25" s="11" t="s">
        <v>244</v>
      </c>
      <c r="Q25" s="210" t="s">
        <v>370</v>
      </c>
      <c r="R25" s="296"/>
      <c r="S25" s="297"/>
      <c r="T25" s="263"/>
      <c r="U25" s="263"/>
      <c r="V25" s="292"/>
      <c r="W25" s="292"/>
      <c r="X25" s="292"/>
      <c r="Y25" s="292"/>
      <c r="Z25" s="292"/>
      <c r="AB25" s="244"/>
      <c r="AC25" s="244"/>
      <c r="AD25" s="244"/>
      <c r="AE25" s="244"/>
      <c r="AF25" s="244"/>
      <c r="AI25" s="241"/>
    </row>
    <row r="26" spans="2:36" ht="15" customHeight="1">
      <c r="B26" s="537"/>
      <c r="C26" s="542"/>
      <c r="D26" s="460"/>
      <c r="E26" s="463"/>
      <c r="F26" s="514"/>
      <c r="G26" s="213"/>
      <c r="H26" s="213"/>
      <c r="I26" s="504"/>
      <c r="J26" s="466"/>
      <c r="K26" s="468"/>
      <c r="L26" s="468"/>
      <c r="M26" s="468"/>
      <c r="N26" s="468"/>
      <c r="O26" s="481"/>
      <c r="P26" s="179" t="s">
        <v>435</v>
      </c>
      <c r="Q26" s="235" t="s">
        <v>370</v>
      </c>
      <c r="R26" s="266"/>
      <c r="S26" s="289"/>
      <c r="T26" s="260"/>
      <c r="U26" s="260"/>
      <c r="V26" s="250"/>
      <c r="W26" s="250"/>
      <c r="X26" s="250"/>
      <c r="Y26" s="250"/>
      <c r="Z26" s="348"/>
      <c r="AB26" s="246" t="s">
        <v>17</v>
      </c>
      <c r="AC26" s="347" t="s">
        <v>578</v>
      </c>
      <c r="AD26" s="349" t="s">
        <v>579</v>
      </c>
      <c r="AE26" s="244">
        <f>('Récapitulatif évolution'!MD12-'Récapitulatif évolution'!MD22)/(0.5*AG26)</f>
        <v>6.3090173290443093E-3</v>
      </c>
      <c r="AF26" s="244">
        <f>('Récapitulatif évolution'!LY29-'Récapitulatif évolution'!MD39)/(0.5*AG26)</f>
        <v>1.4546020545813012</v>
      </c>
      <c r="AG26" s="240">
        <v>9637</v>
      </c>
      <c r="AH26" s="307" t="s">
        <v>536</v>
      </c>
      <c r="AI26" s="240"/>
      <c r="AJ26" t="s">
        <v>548</v>
      </c>
    </row>
    <row r="27" spans="2:36" ht="15" customHeight="1">
      <c r="B27" s="538"/>
      <c r="C27" s="542"/>
      <c r="D27" s="459" t="s">
        <v>204</v>
      </c>
      <c r="E27" s="461" t="s">
        <v>383</v>
      </c>
      <c r="F27" s="500" t="s">
        <v>384</v>
      </c>
      <c r="G27" s="212"/>
      <c r="H27" s="212"/>
      <c r="I27" s="511" t="s">
        <v>386</v>
      </c>
      <c r="J27" s="464" t="s">
        <v>387</v>
      </c>
      <c r="K27" s="467" t="s">
        <v>465</v>
      </c>
      <c r="L27" s="467" t="s">
        <v>466</v>
      </c>
      <c r="M27" s="467" t="s">
        <v>464</v>
      </c>
      <c r="N27" s="467" t="s">
        <v>451</v>
      </c>
      <c r="O27" s="467" t="s">
        <v>463</v>
      </c>
      <c r="P27" s="11" t="s">
        <v>245</v>
      </c>
      <c r="Q27" s="205" t="s">
        <v>231</v>
      </c>
      <c r="R27" s="283"/>
      <c r="S27" s="272"/>
      <c r="T27" s="262"/>
      <c r="U27" s="262"/>
      <c r="V27" s="291"/>
      <c r="W27" s="291"/>
      <c r="X27" s="291"/>
      <c r="Y27" s="291"/>
      <c r="Z27" s="291"/>
      <c r="AB27" s="244"/>
      <c r="AC27" s="244"/>
      <c r="AD27" s="247"/>
      <c r="AE27" s="244"/>
      <c r="AF27" s="244"/>
      <c r="AG27" s="240"/>
    </row>
    <row r="28" spans="2:36" ht="15" customHeight="1">
      <c r="B28" s="539"/>
      <c r="C28" s="542"/>
      <c r="D28" s="460"/>
      <c r="E28" s="543"/>
      <c r="F28" s="515"/>
      <c r="G28" s="212"/>
      <c r="H28" s="212"/>
      <c r="I28" s="515"/>
      <c r="J28" s="545"/>
      <c r="K28" s="468"/>
      <c r="L28" s="468"/>
      <c r="M28" s="468"/>
      <c r="N28" s="468"/>
      <c r="O28" s="468"/>
      <c r="P28" s="11" t="s">
        <v>246</v>
      </c>
      <c r="Q28" s="210" t="s">
        <v>231</v>
      </c>
      <c r="R28" s="296"/>
      <c r="S28" s="297"/>
      <c r="T28" s="263"/>
      <c r="U28" s="263"/>
      <c r="V28" s="292"/>
      <c r="W28" s="292"/>
      <c r="X28" s="292"/>
      <c r="Y28" s="292"/>
      <c r="Z28" s="292"/>
      <c r="AB28" s="244"/>
      <c r="AC28" s="244"/>
      <c r="AD28" s="244"/>
      <c r="AE28" s="244"/>
      <c r="AF28" s="244"/>
    </row>
    <row r="29" spans="2:36" ht="15" customHeight="1">
      <c r="B29" s="539"/>
      <c r="C29" s="542"/>
      <c r="D29" s="460"/>
      <c r="E29" s="543"/>
      <c r="F29" s="515"/>
      <c r="G29" s="212"/>
      <c r="H29" s="212"/>
      <c r="I29" s="515"/>
      <c r="J29" s="545"/>
      <c r="K29" s="468"/>
      <c r="L29" s="468"/>
      <c r="M29" s="468"/>
      <c r="N29" s="468"/>
      <c r="O29" s="468"/>
      <c r="P29" s="11" t="s">
        <v>247</v>
      </c>
      <c r="Q29" s="210" t="s">
        <v>231</v>
      </c>
      <c r="R29" s="296"/>
      <c r="S29" s="297"/>
      <c r="T29" s="263"/>
      <c r="U29" s="263"/>
      <c r="V29" s="292"/>
      <c r="W29" s="292"/>
      <c r="X29" s="292"/>
      <c r="Y29" s="292"/>
      <c r="Z29" s="292"/>
      <c r="AB29" s="244"/>
      <c r="AC29" s="244"/>
      <c r="AD29" s="244"/>
      <c r="AE29" s="244"/>
      <c r="AF29" s="244"/>
    </row>
    <row r="30" spans="2:36" ht="15" customHeight="1">
      <c r="B30" s="539"/>
      <c r="C30" s="542"/>
      <c r="D30" s="460"/>
      <c r="E30" s="543"/>
      <c r="F30" s="515"/>
      <c r="G30" s="212"/>
      <c r="H30" s="212"/>
      <c r="I30" s="515"/>
      <c r="J30" s="545"/>
      <c r="K30" s="468"/>
      <c r="L30" s="468"/>
      <c r="M30" s="468"/>
      <c r="N30" s="468"/>
      <c r="O30" s="468"/>
      <c r="P30" s="11" t="s">
        <v>757</v>
      </c>
      <c r="Q30" s="387" t="s">
        <v>370</v>
      </c>
      <c r="R30" s="296"/>
      <c r="S30" s="297"/>
      <c r="T30" s="263"/>
      <c r="U30" s="263"/>
      <c r="V30" s="292"/>
      <c r="W30" s="292"/>
      <c r="X30" s="292"/>
      <c r="Y30" s="292"/>
      <c r="Z30" s="292"/>
      <c r="AB30" s="244"/>
      <c r="AC30" s="244"/>
      <c r="AD30" s="244"/>
      <c r="AE30" s="244"/>
      <c r="AF30" s="244"/>
    </row>
    <row r="31" spans="2:36" ht="15" customHeight="1">
      <c r="B31" s="539"/>
      <c r="C31" s="542"/>
      <c r="D31" s="460"/>
      <c r="E31" s="543"/>
      <c r="F31" s="515"/>
      <c r="G31" s="212"/>
      <c r="H31" s="212"/>
      <c r="I31" s="515"/>
      <c r="J31" s="545"/>
      <c r="K31" s="468"/>
      <c r="L31" s="468"/>
      <c r="M31" s="468"/>
      <c r="N31" s="468"/>
      <c r="O31" s="468"/>
      <c r="P31" s="11" t="s">
        <v>248</v>
      </c>
      <c r="Q31" s="210" t="s">
        <v>370</v>
      </c>
      <c r="R31" s="296"/>
      <c r="S31" s="297"/>
      <c r="T31" s="263"/>
      <c r="U31" s="263"/>
      <c r="V31" s="292"/>
      <c r="W31" s="292"/>
      <c r="X31" s="292"/>
      <c r="Y31" s="292"/>
      <c r="Z31" s="292"/>
      <c r="AB31" s="244"/>
      <c r="AC31" s="244"/>
      <c r="AD31" s="244"/>
      <c r="AE31" s="244"/>
      <c r="AF31" s="244"/>
    </row>
    <row r="32" spans="2:36" ht="15" customHeight="1">
      <c r="B32" s="539"/>
      <c r="C32" s="542"/>
      <c r="D32" s="547"/>
      <c r="E32" s="544"/>
      <c r="F32" s="516"/>
      <c r="G32" s="212"/>
      <c r="H32" s="212"/>
      <c r="I32" s="516"/>
      <c r="J32" s="549"/>
      <c r="K32" s="479"/>
      <c r="L32" s="479"/>
      <c r="M32" s="479"/>
      <c r="N32" s="479"/>
      <c r="O32" s="479"/>
      <c r="P32" s="12" t="s">
        <v>249</v>
      </c>
      <c r="Q32" s="236" t="s">
        <v>231</v>
      </c>
      <c r="R32" s="266"/>
      <c r="S32" s="289"/>
      <c r="T32" s="260"/>
      <c r="U32" s="260"/>
      <c r="V32" s="250"/>
      <c r="W32" s="250"/>
      <c r="X32" s="250"/>
      <c r="Y32" s="250"/>
      <c r="Z32" s="250"/>
      <c r="AB32" s="244"/>
      <c r="AC32" s="244"/>
      <c r="AD32" s="244"/>
      <c r="AE32" s="244"/>
      <c r="AF32" s="244"/>
    </row>
    <row r="33" spans="2:32" ht="30.75" customHeight="1">
      <c r="B33" s="539"/>
      <c r="C33" s="548" t="s">
        <v>115</v>
      </c>
      <c r="D33" s="459" t="s">
        <v>206</v>
      </c>
      <c r="E33" s="461" t="s">
        <v>383</v>
      </c>
      <c r="F33" s="500" t="s">
        <v>384</v>
      </c>
      <c r="G33" s="500" t="s">
        <v>388</v>
      </c>
      <c r="H33" s="214"/>
      <c r="I33" s="517" t="s">
        <v>385</v>
      </c>
      <c r="J33" s="464" t="s">
        <v>387</v>
      </c>
      <c r="K33" s="467" t="s">
        <v>468</v>
      </c>
      <c r="L33" s="467" t="s">
        <v>469</v>
      </c>
      <c r="M33" s="467" t="s">
        <v>467</v>
      </c>
      <c r="N33" s="467" t="s">
        <v>451</v>
      </c>
      <c r="O33" s="467"/>
      <c r="P33" s="11" t="s">
        <v>250</v>
      </c>
      <c r="Q33" s="210" t="s">
        <v>231</v>
      </c>
      <c r="R33" s="296"/>
      <c r="S33" s="297"/>
      <c r="T33" s="263"/>
      <c r="U33" s="263"/>
      <c r="V33" s="292"/>
      <c r="W33" s="292"/>
      <c r="X33" s="292"/>
      <c r="Y33" s="292"/>
      <c r="Z33" s="292"/>
      <c r="AB33" s="244"/>
      <c r="AC33" s="244"/>
      <c r="AD33" s="244"/>
      <c r="AE33" s="244"/>
      <c r="AF33" s="244"/>
    </row>
    <row r="34" spans="2:32" ht="25.5" customHeight="1">
      <c r="B34" s="539"/>
      <c r="C34" s="542"/>
      <c r="D34" s="460"/>
      <c r="E34" s="543"/>
      <c r="F34" s="515"/>
      <c r="G34" s="515"/>
      <c r="H34" s="212"/>
      <c r="I34" s="515"/>
      <c r="J34" s="545"/>
      <c r="K34" s="468"/>
      <c r="L34" s="468"/>
      <c r="M34" s="468"/>
      <c r="N34" s="468"/>
      <c r="O34" s="468"/>
      <c r="P34" s="11" t="s">
        <v>251</v>
      </c>
      <c r="Q34" s="210" t="s">
        <v>370</v>
      </c>
      <c r="R34" s="283"/>
      <c r="S34" s="272"/>
      <c r="T34" s="258"/>
      <c r="U34" s="258"/>
      <c r="V34" s="287"/>
      <c r="W34" s="287"/>
      <c r="X34" s="287"/>
      <c r="Y34" s="287"/>
      <c r="Z34" s="287"/>
      <c r="AB34" s="244"/>
      <c r="AC34" s="244"/>
      <c r="AD34" s="244"/>
      <c r="AE34" s="244"/>
      <c r="AF34" s="244"/>
    </row>
    <row r="35" spans="2:32" ht="25.5" customHeight="1">
      <c r="B35" s="539"/>
      <c r="C35" s="542"/>
      <c r="D35" s="460"/>
      <c r="E35" s="544"/>
      <c r="F35" s="516"/>
      <c r="G35" s="516"/>
      <c r="H35" s="212"/>
      <c r="I35" s="516"/>
      <c r="J35" s="545"/>
      <c r="K35" s="468"/>
      <c r="L35" s="468"/>
      <c r="M35" s="468"/>
      <c r="N35" s="468"/>
      <c r="O35" s="479"/>
      <c r="P35" s="11" t="s">
        <v>252</v>
      </c>
      <c r="Q35" s="210" t="s">
        <v>370</v>
      </c>
      <c r="R35" s="283"/>
      <c r="S35" s="272"/>
      <c r="T35" s="258"/>
      <c r="U35" s="258"/>
      <c r="V35" s="287"/>
      <c r="W35" s="287"/>
      <c r="X35" s="287"/>
      <c r="Y35" s="287"/>
      <c r="Z35" s="287"/>
      <c r="AB35" s="244"/>
      <c r="AC35" s="244"/>
      <c r="AD35" s="244"/>
      <c r="AE35" s="244"/>
      <c r="AF35" s="244"/>
    </row>
    <row r="36" spans="2:32" ht="15" customHeight="1">
      <c r="B36" s="539"/>
      <c r="C36" s="548" t="s">
        <v>113</v>
      </c>
      <c r="D36" s="459" t="s">
        <v>205</v>
      </c>
      <c r="E36" s="215"/>
      <c r="F36" s="490"/>
      <c r="G36" s="500" t="s">
        <v>550</v>
      </c>
      <c r="H36" s="500" t="s">
        <v>551</v>
      </c>
      <c r="I36" s="517" t="s">
        <v>390</v>
      </c>
      <c r="J36" s="490"/>
      <c r="K36" s="467" t="s">
        <v>472</v>
      </c>
      <c r="L36" s="467" t="s">
        <v>473</v>
      </c>
      <c r="M36" s="467" t="s">
        <v>471</v>
      </c>
      <c r="N36" s="467" t="s">
        <v>451</v>
      </c>
      <c r="O36" s="467" t="s">
        <v>470</v>
      </c>
      <c r="P36" s="11" t="s">
        <v>253</v>
      </c>
      <c r="Q36" s="210" t="s">
        <v>231</v>
      </c>
      <c r="R36" s="296"/>
      <c r="S36" s="297"/>
      <c r="T36" s="263"/>
      <c r="U36" s="263"/>
      <c r="V36" s="292"/>
      <c r="W36" s="292"/>
      <c r="X36" s="292"/>
      <c r="Y36" s="292"/>
      <c r="Z36" s="292"/>
      <c r="AB36" s="244"/>
      <c r="AC36" s="244"/>
      <c r="AD36" s="244"/>
      <c r="AE36" s="244"/>
      <c r="AF36" s="244"/>
    </row>
    <row r="37" spans="2:32" ht="15" customHeight="1">
      <c r="B37" s="539"/>
      <c r="C37" s="542"/>
      <c r="D37" s="460"/>
      <c r="E37" s="215"/>
      <c r="F37" s="482"/>
      <c r="G37" s="515"/>
      <c r="H37" s="515"/>
      <c r="I37" s="552"/>
      <c r="J37" s="482"/>
      <c r="K37" s="468"/>
      <c r="L37" s="468"/>
      <c r="M37" s="468"/>
      <c r="N37" s="468"/>
      <c r="O37" s="468"/>
      <c r="P37" s="11" t="s">
        <v>254</v>
      </c>
      <c r="Q37" s="210" t="s">
        <v>231</v>
      </c>
      <c r="R37" s="283"/>
      <c r="S37" s="272"/>
      <c r="T37" s="258"/>
      <c r="U37" s="258"/>
      <c r="V37" s="287"/>
      <c r="W37" s="287"/>
      <c r="X37" s="287"/>
      <c r="Y37" s="287"/>
      <c r="Z37" s="287"/>
      <c r="AB37" s="244"/>
      <c r="AC37" s="244"/>
      <c r="AD37" s="244"/>
      <c r="AE37" s="244"/>
      <c r="AF37" s="244"/>
    </row>
    <row r="38" spans="2:32" ht="15" customHeight="1">
      <c r="B38" s="539"/>
      <c r="C38" s="542"/>
      <c r="D38" s="460"/>
      <c r="E38" s="215"/>
      <c r="F38" s="482"/>
      <c r="G38" s="515"/>
      <c r="H38" s="515"/>
      <c r="I38" s="552"/>
      <c r="J38" s="482"/>
      <c r="K38" s="468"/>
      <c r="L38" s="468"/>
      <c r="M38" s="468"/>
      <c r="N38" s="468"/>
      <c r="O38" s="468"/>
      <c r="P38" s="11" t="s">
        <v>255</v>
      </c>
      <c r="Q38" s="210" t="s">
        <v>231</v>
      </c>
      <c r="R38" s="283"/>
      <c r="S38" s="272"/>
      <c r="T38" s="258"/>
      <c r="U38" s="258"/>
      <c r="V38" s="287"/>
      <c r="W38" s="287"/>
      <c r="X38" s="287"/>
      <c r="Y38" s="287"/>
      <c r="Z38" s="287"/>
      <c r="AB38" s="244"/>
      <c r="AC38" s="244"/>
      <c r="AD38" s="244"/>
      <c r="AE38" s="244"/>
      <c r="AF38" s="244"/>
    </row>
    <row r="39" spans="2:32" ht="15" customHeight="1">
      <c r="B39" s="539"/>
      <c r="C39" s="542"/>
      <c r="D39" s="460"/>
      <c r="E39" s="215"/>
      <c r="F39" s="491"/>
      <c r="G39" s="515"/>
      <c r="H39" s="515"/>
      <c r="I39" s="553"/>
      <c r="J39" s="491"/>
      <c r="K39" s="468"/>
      <c r="L39" s="468"/>
      <c r="M39" s="468"/>
      <c r="N39" s="468"/>
      <c r="O39" s="479"/>
      <c r="P39" s="12" t="s">
        <v>256</v>
      </c>
      <c r="Q39" s="236" t="s">
        <v>370</v>
      </c>
      <c r="R39" s="266"/>
      <c r="S39" s="289"/>
      <c r="T39" s="260"/>
      <c r="U39" s="260"/>
      <c r="V39" s="250"/>
      <c r="W39" s="250"/>
      <c r="X39" s="250"/>
      <c r="Y39" s="250"/>
      <c r="Z39" s="250"/>
      <c r="AB39" s="244"/>
      <c r="AC39" s="244"/>
      <c r="AD39" s="244"/>
      <c r="AE39" s="244"/>
      <c r="AF39" s="244"/>
    </row>
    <row r="40" spans="2:32" ht="15" customHeight="1">
      <c r="B40" s="539"/>
      <c r="C40" s="548" t="s">
        <v>114</v>
      </c>
      <c r="D40" s="459" t="s">
        <v>207</v>
      </c>
      <c r="E40" s="480" t="s">
        <v>587</v>
      </c>
      <c r="F40" s="500" t="s">
        <v>391</v>
      </c>
      <c r="G40" s="482"/>
      <c r="H40" s="482"/>
      <c r="I40" s="500" t="s">
        <v>392</v>
      </c>
      <c r="J40" s="484" t="s">
        <v>413</v>
      </c>
      <c r="K40" s="467" t="s">
        <v>476</v>
      </c>
      <c r="L40" s="467" t="s">
        <v>477</v>
      </c>
      <c r="M40" s="467" t="s">
        <v>475</v>
      </c>
      <c r="N40" s="467" t="s">
        <v>461</v>
      </c>
      <c r="O40" s="480" t="s">
        <v>474</v>
      </c>
      <c r="P40" s="11" t="s">
        <v>257</v>
      </c>
      <c r="Q40" s="210" t="s">
        <v>231</v>
      </c>
      <c r="R40" s="283"/>
      <c r="S40" s="272"/>
      <c r="T40" s="262"/>
      <c r="U40" s="262"/>
      <c r="V40" s="291"/>
      <c r="W40" s="291"/>
      <c r="X40" s="291"/>
      <c r="Y40" s="291"/>
      <c r="Z40" s="291"/>
      <c r="AB40" s="244"/>
      <c r="AC40" s="244"/>
      <c r="AD40" s="244"/>
      <c r="AE40" s="244"/>
      <c r="AF40" s="244"/>
    </row>
    <row r="41" spans="2:32" ht="15" customHeight="1">
      <c r="B41" s="539"/>
      <c r="C41" s="542"/>
      <c r="D41" s="460"/>
      <c r="E41" s="481"/>
      <c r="F41" s="501"/>
      <c r="G41" s="482"/>
      <c r="H41" s="482"/>
      <c r="I41" s="501"/>
      <c r="J41" s="485"/>
      <c r="K41" s="468"/>
      <c r="L41" s="468"/>
      <c r="M41" s="468"/>
      <c r="N41" s="468"/>
      <c r="O41" s="481"/>
      <c r="P41" s="11" t="s">
        <v>258</v>
      </c>
      <c r="Q41" s="210" t="s">
        <v>231</v>
      </c>
      <c r="R41" s="283"/>
      <c r="S41" s="272"/>
      <c r="T41" s="258"/>
      <c r="U41" s="258"/>
      <c r="V41" s="287"/>
      <c r="W41" s="287"/>
      <c r="X41" s="287"/>
      <c r="Y41" s="287"/>
      <c r="Z41" s="287"/>
      <c r="AB41" s="244"/>
      <c r="AC41" s="244"/>
      <c r="AD41" s="244"/>
      <c r="AE41" s="244"/>
      <c r="AF41" s="244"/>
    </row>
    <row r="42" spans="2:32" ht="15" customHeight="1">
      <c r="B42" s="539"/>
      <c r="C42" s="542"/>
      <c r="D42" s="460"/>
      <c r="E42" s="481"/>
      <c r="F42" s="501"/>
      <c r="G42" s="482"/>
      <c r="H42" s="482"/>
      <c r="I42" s="501"/>
      <c r="J42" s="485"/>
      <c r="K42" s="468"/>
      <c r="L42" s="468"/>
      <c r="M42" s="468"/>
      <c r="N42" s="468"/>
      <c r="O42" s="481"/>
      <c r="P42" s="180" t="s">
        <v>259</v>
      </c>
      <c r="Q42" s="210" t="s">
        <v>231</v>
      </c>
      <c r="R42" s="283"/>
      <c r="S42" s="272"/>
      <c r="T42" s="258"/>
      <c r="U42" s="258"/>
      <c r="V42" s="287"/>
      <c r="W42" s="287"/>
      <c r="X42" s="287"/>
      <c r="Y42" s="287"/>
      <c r="Z42" s="287"/>
      <c r="AB42" s="244"/>
      <c r="AC42" s="244"/>
      <c r="AD42" s="244"/>
      <c r="AE42" s="244"/>
      <c r="AF42" s="244"/>
    </row>
    <row r="43" spans="2:32" ht="15" customHeight="1">
      <c r="B43" s="539"/>
      <c r="C43" s="542"/>
      <c r="D43" s="460"/>
      <c r="E43" s="481"/>
      <c r="F43" s="501"/>
      <c r="G43" s="482"/>
      <c r="H43" s="482"/>
      <c r="I43" s="501"/>
      <c r="J43" s="485"/>
      <c r="K43" s="468"/>
      <c r="L43" s="468"/>
      <c r="M43" s="468"/>
      <c r="N43" s="468"/>
      <c r="O43" s="481"/>
      <c r="P43" s="11" t="s">
        <v>260</v>
      </c>
      <c r="Q43" s="210" t="s">
        <v>372</v>
      </c>
      <c r="R43" s="283"/>
      <c r="S43" s="272"/>
      <c r="T43" s="258"/>
      <c r="U43" s="258"/>
      <c r="V43" s="287"/>
      <c r="W43" s="287"/>
      <c r="X43" s="287"/>
      <c r="Y43" s="287"/>
      <c r="Z43" s="287"/>
      <c r="AB43" s="244"/>
      <c r="AC43" s="244"/>
      <c r="AD43" s="244"/>
      <c r="AE43" s="244"/>
      <c r="AF43" s="244"/>
    </row>
    <row r="44" spans="2:32" ht="15" customHeight="1">
      <c r="B44" s="539"/>
      <c r="C44" s="542"/>
      <c r="D44" s="460"/>
      <c r="E44" s="481"/>
      <c r="F44" s="551"/>
      <c r="G44" s="483"/>
      <c r="H44" s="483"/>
      <c r="I44" s="551"/>
      <c r="J44" s="485"/>
      <c r="K44" s="468"/>
      <c r="L44" s="468"/>
      <c r="M44" s="468"/>
      <c r="N44" s="468"/>
      <c r="O44" s="487"/>
      <c r="P44" s="180" t="s">
        <v>373</v>
      </c>
      <c r="Q44" s="210" t="s">
        <v>372</v>
      </c>
      <c r="R44" s="239"/>
      <c r="S44" s="111"/>
      <c r="T44" s="109"/>
      <c r="U44" s="109"/>
      <c r="V44" s="110"/>
      <c r="W44" s="110"/>
      <c r="X44" s="110"/>
      <c r="Y44" s="110"/>
      <c r="Z44" s="110"/>
      <c r="AB44" s="244"/>
      <c r="AC44" s="244"/>
      <c r="AD44" s="244"/>
      <c r="AE44" s="244"/>
      <c r="AF44" s="244"/>
    </row>
    <row r="45" spans="2:32" ht="15" customHeight="1" thickBot="1">
      <c r="B45" s="540"/>
      <c r="C45" s="37"/>
      <c r="D45" s="14"/>
      <c r="E45" s="15"/>
      <c r="F45" s="127"/>
      <c r="G45" s="16"/>
      <c r="H45" s="16"/>
      <c r="I45" s="125"/>
      <c r="J45" s="17"/>
      <c r="K45" s="20"/>
      <c r="L45" s="20"/>
      <c r="M45" s="18"/>
      <c r="N45" s="18"/>
      <c r="O45" s="19"/>
      <c r="P45" s="19"/>
      <c r="Q45" s="19"/>
      <c r="R45" s="19"/>
      <c r="S45" s="19"/>
      <c r="T45" s="19"/>
      <c r="U45" s="19"/>
      <c r="V45" s="19"/>
      <c r="W45" s="19"/>
      <c r="X45" s="19"/>
      <c r="Y45" s="19"/>
      <c r="Z45" s="21"/>
      <c r="AB45" s="248"/>
      <c r="AC45" s="248"/>
      <c r="AD45" s="248"/>
      <c r="AE45" s="244"/>
      <c r="AF45" s="244"/>
    </row>
    <row r="46" spans="2:32">
      <c r="B46" s="22"/>
      <c r="C46" s="22"/>
      <c r="D46" s="23"/>
      <c r="E46" s="24"/>
      <c r="F46" s="24"/>
      <c r="G46" s="25"/>
      <c r="H46" s="25"/>
      <c r="I46" s="25"/>
      <c r="J46" s="26"/>
      <c r="K46" s="26"/>
      <c r="L46" s="26"/>
      <c r="M46" s="26"/>
      <c r="N46" s="26"/>
      <c r="O46" s="27"/>
      <c r="P46" s="28"/>
      <c r="Q46" s="7"/>
    </row>
    <row r="47" spans="2:32" ht="15" customHeight="1">
      <c r="B47" s="29"/>
      <c r="C47" s="29"/>
      <c r="D47" s="29"/>
      <c r="E47" s="29"/>
      <c r="F47" s="29"/>
      <c r="G47" s="29"/>
      <c r="H47" s="29"/>
      <c r="I47" s="29"/>
      <c r="J47" s="30"/>
      <c r="K47" s="30"/>
      <c r="L47" s="30"/>
      <c r="M47" s="488" t="s">
        <v>12</v>
      </c>
      <c r="N47" s="488"/>
      <c r="O47" s="489"/>
      <c r="P47" s="477" t="s">
        <v>18</v>
      </c>
      <c r="R47" s="469"/>
      <c r="S47" s="469"/>
      <c r="T47" s="469"/>
      <c r="U47" s="469"/>
      <c r="V47" s="469"/>
      <c r="W47" s="469"/>
      <c r="X47" s="469"/>
      <c r="Y47" s="469"/>
      <c r="Z47" s="470"/>
    </row>
    <row r="48" spans="2:32">
      <c r="B48" s="29"/>
      <c r="C48" s="29"/>
      <c r="D48" s="29"/>
      <c r="E48" s="29"/>
      <c r="F48" s="29"/>
      <c r="G48" s="29"/>
      <c r="H48" s="29"/>
      <c r="I48" s="29"/>
      <c r="J48" s="29"/>
      <c r="K48" s="29"/>
      <c r="L48" s="29"/>
      <c r="M48" s="488"/>
      <c r="N48" s="488"/>
      <c r="O48" s="489"/>
      <c r="P48" s="478"/>
      <c r="R48" s="471"/>
      <c r="S48" s="471"/>
      <c r="T48" s="471"/>
      <c r="U48" s="471"/>
      <c r="V48" s="471"/>
      <c r="W48" s="471"/>
      <c r="X48" s="471"/>
      <c r="Y48" s="471"/>
      <c r="Z48" s="472"/>
    </row>
    <row r="49" spans="2:29">
      <c r="B49" s="29"/>
      <c r="C49" s="29"/>
      <c r="D49" s="29"/>
      <c r="E49" s="29"/>
      <c r="F49" s="29"/>
      <c r="G49" s="29"/>
      <c r="H49" s="29"/>
      <c r="I49" s="29"/>
      <c r="J49" s="29"/>
      <c r="K49" s="29"/>
      <c r="L49" s="29"/>
      <c r="M49" s="32"/>
      <c r="N49" s="32"/>
      <c r="O49" s="32"/>
      <c r="P49" s="32"/>
      <c r="R49" s="43"/>
      <c r="S49" s="43"/>
      <c r="T49" s="43"/>
      <c r="U49" s="43"/>
      <c r="V49" s="43"/>
      <c r="W49" s="43"/>
      <c r="X49" s="43"/>
      <c r="Y49" s="43"/>
      <c r="Z49" s="43"/>
    </row>
    <row r="50" spans="2:29">
      <c r="B50" s="29"/>
      <c r="C50" s="29"/>
      <c r="D50" s="29"/>
      <c r="E50" s="29"/>
      <c r="F50" s="29"/>
      <c r="G50" s="29"/>
      <c r="H50" s="29"/>
      <c r="I50" s="29"/>
      <c r="J50" s="29"/>
      <c r="K50" s="29"/>
      <c r="L50" s="29"/>
      <c r="M50" s="32"/>
      <c r="N50" s="32"/>
      <c r="O50" s="486" t="s">
        <v>24</v>
      </c>
      <c r="P50" s="94" t="s">
        <v>78</v>
      </c>
      <c r="Q50" s="89" t="s">
        <v>7</v>
      </c>
      <c r="R50" s="97" t="s">
        <v>90</v>
      </c>
      <c r="S50" s="97" t="s">
        <v>19</v>
      </c>
      <c r="T50" s="97" t="s">
        <v>91</v>
      </c>
      <c r="U50" s="97" t="s">
        <v>92</v>
      </c>
      <c r="V50" s="97" t="s">
        <v>20</v>
      </c>
      <c r="W50" s="97" t="s">
        <v>93</v>
      </c>
      <c r="X50" s="97" t="s">
        <v>94</v>
      </c>
      <c r="Y50" s="97" t="s">
        <v>95</v>
      </c>
      <c r="Z50" s="97" t="s">
        <v>96</v>
      </c>
    </row>
    <row r="51" spans="2:29">
      <c r="B51" s="29"/>
      <c r="C51" s="29"/>
      <c r="D51" s="29"/>
      <c r="E51" s="29"/>
      <c r="F51" s="29"/>
      <c r="G51" s="29"/>
      <c r="H51" s="29"/>
      <c r="I51" s="29"/>
      <c r="J51" s="29"/>
      <c r="K51" s="29"/>
      <c r="L51" s="29"/>
      <c r="M51" s="32"/>
      <c r="N51" s="32"/>
      <c r="O51" s="486"/>
      <c r="P51" s="93" t="s">
        <v>25</v>
      </c>
      <c r="Q51" s="44" t="s">
        <v>11</v>
      </c>
      <c r="R51" s="47">
        <f>R26*$AE$26</f>
        <v>0</v>
      </c>
      <c r="S51" s="47">
        <f>S26*$AE$26</f>
        <v>0</v>
      </c>
      <c r="T51" s="47">
        <f t="shared" ref="T51:Z51" si="0">T26*$AE$26</f>
        <v>0</v>
      </c>
      <c r="U51" s="47">
        <f t="shared" si="0"/>
        <v>0</v>
      </c>
      <c r="V51" s="47">
        <f t="shared" si="0"/>
        <v>0</v>
      </c>
      <c r="W51" s="47">
        <f t="shared" si="0"/>
        <v>0</v>
      </c>
      <c r="X51" s="47">
        <f t="shared" si="0"/>
        <v>0</v>
      </c>
      <c r="Y51" s="47">
        <f t="shared" si="0"/>
        <v>0</v>
      </c>
      <c r="Z51" s="47">
        <f t="shared" si="0"/>
        <v>0</v>
      </c>
      <c r="AB51" s="328"/>
      <c r="AC51" s="328"/>
    </row>
    <row r="52" spans="2:29">
      <c r="B52" s="29"/>
      <c r="C52" s="29"/>
      <c r="D52" s="29"/>
      <c r="E52" s="29"/>
      <c r="F52" s="29"/>
      <c r="G52" s="29"/>
      <c r="H52" s="29"/>
      <c r="I52" s="29"/>
      <c r="J52" s="29"/>
      <c r="K52" s="29"/>
      <c r="L52" s="29"/>
      <c r="M52" s="32"/>
      <c r="N52" s="32"/>
      <c r="O52" s="486"/>
      <c r="P52" s="95" t="s">
        <v>26</v>
      </c>
      <c r="Q52" s="88" t="s">
        <v>27</v>
      </c>
      <c r="R52" s="47">
        <f>R26*$AF$26</f>
        <v>0</v>
      </c>
      <c r="S52" s="47">
        <f t="shared" ref="S52:Z52" si="1">S26*$AF$26</f>
        <v>0</v>
      </c>
      <c r="T52" s="47">
        <f t="shared" si="1"/>
        <v>0</v>
      </c>
      <c r="U52" s="47">
        <f t="shared" si="1"/>
        <v>0</v>
      </c>
      <c r="V52" s="47">
        <f t="shared" si="1"/>
        <v>0</v>
      </c>
      <c r="W52" s="47">
        <f t="shared" si="1"/>
        <v>0</v>
      </c>
      <c r="X52" s="47">
        <f t="shared" si="1"/>
        <v>0</v>
      </c>
      <c r="Y52" s="47">
        <f t="shared" si="1"/>
        <v>0</v>
      </c>
      <c r="Z52" s="47">
        <f t="shared" si="1"/>
        <v>0</v>
      </c>
    </row>
    <row r="54" spans="2:29">
      <c r="P54" s="32"/>
    </row>
  </sheetData>
  <sheetProtection insertColumns="0" insertRows="0" autoFilter="0"/>
  <mergeCells count="104">
    <mergeCell ref="I40:I44"/>
    <mergeCell ref="H36:H39"/>
    <mergeCell ref="I36:I39"/>
    <mergeCell ref="F36:F39"/>
    <mergeCell ref="F40:F44"/>
    <mergeCell ref="H40:H44"/>
    <mergeCell ref="C7:C9"/>
    <mergeCell ref="D10:D17"/>
    <mergeCell ref="C10:C17"/>
    <mergeCell ref="G36:G39"/>
    <mergeCell ref="B7:B9"/>
    <mergeCell ref="B10:B45"/>
    <mergeCell ref="E18:E22"/>
    <mergeCell ref="D18:D22"/>
    <mergeCell ref="M27:M32"/>
    <mergeCell ref="C18:C32"/>
    <mergeCell ref="D33:D35"/>
    <mergeCell ref="E33:E35"/>
    <mergeCell ref="G33:G35"/>
    <mergeCell ref="J33:J35"/>
    <mergeCell ref="E27:E32"/>
    <mergeCell ref="D7:D9"/>
    <mergeCell ref="D27:D32"/>
    <mergeCell ref="J18:J22"/>
    <mergeCell ref="M18:M22"/>
    <mergeCell ref="K27:K32"/>
    <mergeCell ref="C33:C35"/>
    <mergeCell ref="C40:C44"/>
    <mergeCell ref="C36:C39"/>
    <mergeCell ref="L27:L32"/>
    <mergeCell ref="L18:L22"/>
    <mergeCell ref="K18:K22"/>
    <mergeCell ref="J27:J32"/>
    <mergeCell ref="H10:H17"/>
    <mergeCell ref="D3:Q3"/>
    <mergeCell ref="D4:Q4"/>
    <mergeCell ref="E5:O5"/>
    <mergeCell ref="P5:Q5"/>
    <mergeCell ref="E7:J7"/>
    <mergeCell ref="K7:M7"/>
    <mergeCell ref="P7:P9"/>
    <mergeCell ref="E8:F8"/>
    <mergeCell ref="K8:K9"/>
    <mergeCell ref="L8:L9"/>
    <mergeCell ref="M8:M9"/>
    <mergeCell ref="J36:J39"/>
    <mergeCell ref="K36:K39"/>
    <mergeCell ref="L33:L35"/>
    <mergeCell ref="O10:O17"/>
    <mergeCell ref="E10:E17"/>
    <mergeCell ref="N7:N9"/>
    <mergeCell ref="M10:M17"/>
    <mergeCell ref="N10:N17"/>
    <mergeCell ref="O7:O9"/>
    <mergeCell ref="K10:K17"/>
    <mergeCell ref="L10:L17"/>
    <mergeCell ref="F10:F17"/>
    <mergeCell ref="G10:G17"/>
    <mergeCell ref="J10:J17"/>
    <mergeCell ref="I10:I17"/>
    <mergeCell ref="I18:I22"/>
    <mergeCell ref="F18:F22"/>
    <mergeCell ref="F23:F26"/>
    <mergeCell ref="I23:I26"/>
    <mergeCell ref="F27:F32"/>
    <mergeCell ref="I27:I32"/>
    <mergeCell ref="I33:I35"/>
    <mergeCell ref="F33:F35"/>
    <mergeCell ref="O50:O52"/>
    <mergeCell ref="L36:L39"/>
    <mergeCell ref="M36:M39"/>
    <mergeCell ref="N36:N39"/>
    <mergeCell ref="O36:O39"/>
    <mergeCell ref="L40:L44"/>
    <mergeCell ref="O40:O44"/>
    <mergeCell ref="M33:M35"/>
    <mergeCell ref="N33:N35"/>
    <mergeCell ref="O33:O35"/>
    <mergeCell ref="M47:O48"/>
    <mergeCell ref="M40:M44"/>
    <mergeCell ref="R7:Z8"/>
    <mergeCell ref="Q7:Q9"/>
    <mergeCell ref="D23:D26"/>
    <mergeCell ref="E23:E26"/>
    <mergeCell ref="J23:J26"/>
    <mergeCell ref="K23:K26"/>
    <mergeCell ref="R47:Z48"/>
    <mergeCell ref="O18:O22"/>
    <mergeCell ref="N18:N22"/>
    <mergeCell ref="N40:N44"/>
    <mergeCell ref="P47:P48"/>
    <mergeCell ref="O27:O32"/>
    <mergeCell ref="L23:L26"/>
    <mergeCell ref="M23:M26"/>
    <mergeCell ref="N23:N26"/>
    <mergeCell ref="O23:O26"/>
    <mergeCell ref="N27:N32"/>
    <mergeCell ref="D40:D44"/>
    <mergeCell ref="E40:E44"/>
    <mergeCell ref="G40:G44"/>
    <mergeCell ref="J40:J44"/>
    <mergeCell ref="K40:K44"/>
    <mergeCell ref="K33:K35"/>
    <mergeCell ref="D36:D39"/>
  </mergeCells>
  <conditionalFormatting sqref="R10:Z16 R18:Z22">
    <cfRule type="cellIs" dxfId="71" priority="10" operator="equal">
      <formula>3</formula>
    </cfRule>
    <cfRule type="cellIs" dxfId="70" priority="11" operator="equal">
      <formula>2</formula>
    </cfRule>
    <cfRule type="cellIs" dxfId="69" priority="12" operator="equal">
      <formula>1</formula>
    </cfRule>
  </conditionalFormatting>
  <conditionalFormatting sqref="T34:Z35 T41:Z44">
    <cfRule type="cellIs" dxfId="68" priority="7" operator="equal">
      <formula>3</formula>
    </cfRule>
    <cfRule type="cellIs" dxfId="67" priority="8" operator="equal">
      <formula>2</formula>
    </cfRule>
    <cfRule type="cellIs" dxfId="66" priority="9" operator="equal">
      <formula>1</formula>
    </cfRule>
  </conditionalFormatting>
  <conditionalFormatting sqref="T37:Z38">
    <cfRule type="cellIs" dxfId="65" priority="1" operator="equal">
      <formula>3</formula>
    </cfRule>
    <cfRule type="cellIs" dxfId="64" priority="2" operator="equal">
      <formula>2</formula>
    </cfRule>
    <cfRule type="cellIs" dxfId="63" priority="3" operator="equal">
      <formula>1</formula>
    </cfRule>
  </conditionalFormatting>
  <pageMargins left="0.70866141732283505" right="0.70866141732283505" top="0.74803149606299202" bottom="0.74803149606299202" header="0.31496062992126" footer="0.31496062992126"/>
  <pageSetup paperSize="8" scale="19" orientation="portrait" r:id="rId1"/>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FEFB7-4E48-4E5E-948D-9DB0D5F3D8D7}">
  <sheetPr>
    <tabColor rgb="FFA6D9FC"/>
  </sheetPr>
  <dimension ref="B3:BC58"/>
  <sheetViews>
    <sheetView showGridLines="0" view="pageBreakPreview" zoomScale="30" zoomScaleNormal="40" zoomScaleSheetLayoutView="30" workbookViewId="0">
      <pane ySplit="9" topLeftCell="A10" activePane="bottomLeft" state="frozen"/>
      <selection pane="bottomLeft" sqref="A1:Z58"/>
    </sheetView>
  </sheetViews>
  <sheetFormatPr baseColWidth="10" defaultColWidth="9.28515625" defaultRowHeight="15"/>
  <cols>
    <col min="1" max="1" width="5.7109375" customWidth="1"/>
    <col min="2" max="3" width="55.5703125" customWidth="1"/>
    <col min="4" max="4" width="94.7109375" customWidth="1"/>
    <col min="5" max="8" width="18.5703125" customWidth="1"/>
    <col min="9" max="9" width="31.5703125" customWidth="1"/>
    <col min="10" max="10" width="29.28515625" customWidth="1"/>
    <col min="11" max="11" width="21.28515625" customWidth="1"/>
    <col min="12" max="12" width="43" customWidth="1"/>
    <col min="13" max="13" width="36.5703125" customWidth="1"/>
    <col min="14" max="14" width="21.28515625" customWidth="1"/>
    <col min="15" max="15" width="49.28515625" customWidth="1"/>
    <col min="16" max="16" width="67" bestFit="1" customWidth="1"/>
    <col min="17" max="17" width="15.5703125" customWidth="1"/>
    <col min="18" max="18" width="12.42578125" customWidth="1"/>
    <col min="19" max="19" width="12.5703125" customWidth="1"/>
    <col min="20" max="21" width="12.42578125" customWidth="1"/>
    <col min="22" max="26" width="13" customWidth="1"/>
    <col min="27" max="27" width="3.42578125" customWidth="1"/>
    <col min="28" max="28" width="29.28515625" hidden="1" customWidth="1"/>
    <col min="29" max="29" width="48.42578125" hidden="1" customWidth="1"/>
    <col min="30" max="30" width="27" hidden="1" customWidth="1"/>
    <col min="31" max="31" width="24.7109375" hidden="1" customWidth="1"/>
    <col min="32" max="32" width="39.42578125" hidden="1" customWidth="1"/>
    <col min="33" max="42" width="9.28515625" hidden="1" customWidth="1"/>
    <col min="43" max="58" width="0" hidden="1" customWidth="1"/>
  </cols>
  <sheetData>
    <row r="3" spans="2:32" ht="26.25">
      <c r="D3" s="403" t="s">
        <v>85</v>
      </c>
      <c r="E3" s="404"/>
      <c r="F3" s="404"/>
      <c r="G3" s="404"/>
      <c r="H3" s="404"/>
      <c r="I3" s="404"/>
      <c r="J3" s="404"/>
      <c r="K3" s="404"/>
      <c r="L3" s="404"/>
      <c r="M3" s="404"/>
      <c r="N3" s="404"/>
      <c r="O3" s="404"/>
      <c r="P3" s="404"/>
      <c r="Q3" s="518"/>
    </row>
    <row r="4" spans="2:32">
      <c r="D4" s="406" t="s">
        <v>3</v>
      </c>
      <c r="E4" s="407"/>
      <c r="F4" s="407"/>
      <c r="G4" s="407"/>
      <c r="H4" s="407"/>
      <c r="I4" s="407"/>
      <c r="J4" s="407"/>
      <c r="K4" s="407"/>
      <c r="L4" s="407"/>
      <c r="M4" s="407"/>
      <c r="N4" s="407"/>
      <c r="O4" s="407"/>
      <c r="P4" s="407"/>
      <c r="Q4" s="519"/>
    </row>
    <row r="5" spans="2:32" ht="15.75">
      <c r="B5" s="3"/>
      <c r="C5" s="3"/>
      <c r="D5" s="402" t="s">
        <v>759</v>
      </c>
      <c r="E5" s="520"/>
      <c r="F5" s="520"/>
      <c r="G5" s="520"/>
      <c r="H5" s="520"/>
      <c r="I5" s="520"/>
      <c r="J5" s="520"/>
      <c r="K5" s="520"/>
      <c r="L5" s="520"/>
      <c r="M5" s="520"/>
      <c r="N5" s="520"/>
      <c r="O5" s="520"/>
      <c r="P5" s="521"/>
      <c r="Q5" s="522"/>
    </row>
    <row r="6" spans="2:32" ht="15.75" thickBot="1"/>
    <row r="7" spans="2:32" ht="20.25">
      <c r="B7" s="439" t="s">
        <v>4</v>
      </c>
      <c r="C7" s="526" t="s">
        <v>21</v>
      </c>
      <c r="D7" s="495" t="s">
        <v>5</v>
      </c>
      <c r="E7" s="524" t="s">
        <v>22</v>
      </c>
      <c r="F7" s="524"/>
      <c r="G7" s="524"/>
      <c r="H7" s="524"/>
      <c r="I7" s="524"/>
      <c r="J7" s="525"/>
      <c r="K7" s="526" t="s">
        <v>14</v>
      </c>
      <c r="L7" s="527"/>
      <c r="M7" s="528"/>
      <c r="N7" s="495" t="s">
        <v>16</v>
      </c>
      <c r="O7" s="498" t="s">
        <v>15</v>
      </c>
      <c r="P7" s="439" t="s">
        <v>6</v>
      </c>
      <c r="Q7" s="590" t="s">
        <v>7</v>
      </c>
      <c r="R7" s="568" t="s">
        <v>381</v>
      </c>
      <c r="S7" s="568"/>
      <c r="T7" s="568"/>
      <c r="U7" s="568"/>
      <c r="V7" s="568"/>
      <c r="W7" s="568"/>
      <c r="X7" s="568"/>
      <c r="Y7" s="568"/>
      <c r="Z7" s="568"/>
      <c r="AB7" s="31"/>
    </row>
    <row r="8" spans="2:32" ht="21">
      <c r="B8" s="440"/>
      <c r="C8" s="546"/>
      <c r="D8" s="496"/>
      <c r="E8" s="530" t="s">
        <v>8</v>
      </c>
      <c r="F8" s="530"/>
      <c r="G8" s="128"/>
      <c r="H8" s="122"/>
      <c r="I8" s="122"/>
      <c r="J8" s="130"/>
      <c r="K8" s="529" t="s">
        <v>100</v>
      </c>
      <c r="L8" s="532" t="s">
        <v>23</v>
      </c>
      <c r="M8" s="534" t="s">
        <v>101</v>
      </c>
      <c r="N8" s="496"/>
      <c r="O8" s="499"/>
      <c r="P8" s="440"/>
      <c r="Q8" s="591"/>
      <c r="R8" s="454"/>
      <c r="S8" s="454"/>
      <c r="T8" s="454"/>
      <c r="U8" s="454"/>
      <c r="V8" s="454"/>
      <c r="W8" s="454"/>
      <c r="X8" s="454"/>
      <c r="Y8" s="454"/>
      <c r="Z8" s="454"/>
      <c r="AB8" s="1"/>
    </row>
    <row r="9" spans="2:32" s="2" customFormat="1" ht="71.25" customHeight="1" thickBot="1">
      <c r="B9" s="440"/>
      <c r="C9" s="546"/>
      <c r="D9" s="588"/>
      <c r="E9" s="129" t="s">
        <v>103</v>
      </c>
      <c r="F9" s="129" t="s">
        <v>104</v>
      </c>
      <c r="G9" s="129" t="s">
        <v>9</v>
      </c>
      <c r="H9" s="126" t="s">
        <v>102</v>
      </c>
      <c r="I9" s="126" t="s">
        <v>13</v>
      </c>
      <c r="J9" s="131" t="s">
        <v>10</v>
      </c>
      <c r="K9" s="531"/>
      <c r="L9" s="533"/>
      <c r="M9" s="535"/>
      <c r="N9" s="588"/>
      <c r="O9" s="531"/>
      <c r="P9" s="441"/>
      <c r="Q9" s="592"/>
      <c r="R9" s="4">
        <v>2022</v>
      </c>
      <c r="S9" s="34">
        <v>2023</v>
      </c>
      <c r="T9" s="5">
        <v>2024</v>
      </c>
      <c r="U9" s="5" t="s">
        <v>92</v>
      </c>
      <c r="V9" s="5">
        <v>2026</v>
      </c>
      <c r="W9" s="5">
        <v>2027</v>
      </c>
      <c r="X9" s="5" t="s">
        <v>94</v>
      </c>
      <c r="Y9" s="5">
        <v>2029</v>
      </c>
      <c r="Z9" s="5">
        <v>2030</v>
      </c>
      <c r="AB9" s="249"/>
      <c r="AC9" s="249"/>
      <c r="AD9" s="249"/>
      <c r="AE9" s="249"/>
      <c r="AF9" s="249"/>
    </row>
    <row r="10" spans="2:32">
      <c r="B10" s="569" t="s">
        <v>170</v>
      </c>
      <c r="C10" s="559" t="s">
        <v>120</v>
      </c>
      <c r="D10" s="564" t="s">
        <v>208</v>
      </c>
      <c r="E10" s="480" t="s">
        <v>594</v>
      </c>
      <c r="F10" s="500" t="s">
        <v>394</v>
      </c>
      <c r="G10" s="219"/>
      <c r="H10" s="219"/>
      <c r="I10" s="219"/>
      <c r="J10" s="464" t="s">
        <v>395</v>
      </c>
      <c r="K10" s="467" t="s">
        <v>465</v>
      </c>
      <c r="L10" s="467" t="s">
        <v>481</v>
      </c>
      <c r="M10" s="467" t="s">
        <v>480</v>
      </c>
      <c r="N10" s="467" t="s">
        <v>479</v>
      </c>
      <c r="O10" s="480" t="s">
        <v>478</v>
      </c>
      <c r="P10" s="9" t="s">
        <v>261</v>
      </c>
      <c r="Q10" s="178" t="s">
        <v>231</v>
      </c>
      <c r="R10" s="257"/>
      <c r="S10" s="257"/>
      <c r="T10" s="257"/>
      <c r="U10" s="257"/>
      <c r="V10" s="257"/>
      <c r="W10" s="257"/>
      <c r="X10" s="257"/>
      <c r="Y10" s="257"/>
      <c r="Z10" s="257"/>
      <c r="AB10" s="244"/>
      <c r="AC10" s="244"/>
      <c r="AD10" s="244"/>
      <c r="AE10" s="244"/>
      <c r="AF10" s="244"/>
    </row>
    <row r="11" spans="2:32">
      <c r="B11" s="570"/>
      <c r="C11" s="560"/>
      <c r="D11" s="565"/>
      <c r="E11" s="481"/>
      <c r="F11" s="501"/>
      <c r="G11" s="219"/>
      <c r="H11" s="219"/>
      <c r="I11" s="219"/>
      <c r="J11" s="567"/>
      <c r="K11" s="468"/>
      <c r="L11" s="468"/>
      <c r="M11" s="468"/>
      <c r="N11" s="468"/>
      <c r="O11" s="481"/>
      <c r="P11" s="36" t="s">
        <v>262</v>
      </c>
      <c r="Q11" s="190" t="s">
        <v>370</v>
      </c>
      <c r="R11" s="258"/>
      <c r="S11" s="258"/>
      <c r="T11" s="258"/>
      <c r="U11" s="258"/>
      <c r="V11" s="258"/>
      <c r="W11" s="258"/>
      <c r="X11" s="258"/>
      <c r="Y11" s="258"/>
      <c r="Z11" s="258"/>
      <c r="AB11" s="251"/>
      <c r="AC11" s="251"/>
      <c r="AD11" s="251"/>
      <c r="AE11" s="251"/>
      <c r="AF11" s="251"/>
    </row>
    <row r="12" spans="2:32">
      <c r="B12" s="570"/>
      <c r="C12" s="560"/>
      <c r="D12" s="565"/>
      <c r="E12" s="481"/>
      <c r="F12" s="501"/>
      <c r="G12" s="219"/>
      <c r="H12" s="219"/>
      <c r="I12" s="219"/>
      <c r="J12" s="567"/>
      <c r="K12" s="468"/>
      <c r="L12" s="468"/>
      <c r="M12" s="468"/>
      <c r="N12" s="468"/>
      <c r="O12" s="481"/>
      <c r="P12" s="10" t="s">
        <v>263</v>
      </c>
      <c r="Q12" s="190" t="s">
        <v>370</v>
      </c>
      <c r="R12" s="258"/>
      <c r="S12" s="258"/>
      <c r="T12" s="258"/>
      <c r="U12" s="258"/>
      <c r="V12" s="258"/>
      <c r="W12" s="258"/>
      <c r="X12" s="258"/>
      <c r="Y12" s="258"/>
      <c r="Z12" s="258"/>
      <c r="AB12" s="252"/>
      <c r="AC12" s="251"/>
      <c r="AD12" s="251"/>
      <c r="AE12" s="251"/>
      <c r="AF12" s="251"/>
    </row>
    <row r="13" spans="2:32">
      <c r="B13" s="570"/>
      <c r="C13" s="560"/>
      <c r="D13" s="565"/>
      <c r="E13" s="481"/>
      <c r="F13" s="501"/>
      <c r="G13" s="219"/>
      <c r="H13" s="219"/>
      <c r="I13" s="219"/>
      <c r="J13" s="567"/>
      <c r="K13" s="468"/>
      <c r="L13" s="468"/>
      <c r="M13" s="468"/>
      <c r="N13" s="468"/>
      <c r="O13" s="481"/>
      <c r="P13" s="36" t="s">
        <v>264</v>
      </c>
      <c r="Q13" s="190" t="s">
        <v>370</v>
      </c>
      <c r="R13" s="258"/>
      <c r="S13" s="258"/>
      <c r="T13" s="258"/>
      <c r="U13" s="258"/>
      <c r="V13" s="258"/>
      <c r="W13" s="258"/>
      <c r="X13" s="258"/>
      <c r="Y13" s="258"/>
      <c r="Z13" s="258"/>
      <c r="AB13" s="251"/>
      <c r="AC13" s="251"/>
      <c r="AD13" s="251"/>
      <c r="AE13" s="251"/>
      <c r="AF13" s="251"/>
    </row>
    <row r="14" spans="2:32">
      <c r="B14" s="570"/>
      <c r="C14" s="560"/>
      <c r="D14" s="565"/>
      <c r="E14" s="481"/>
      <c r="F14" s="501"/>
      <c r="G14" s="219"/>
      <c r="H14" s="219"/>
      <c r="I14" s="219"/>
      <c r="J14" s="567"/>
      <c r="K14" s="468"/>
      <c r="L14" s="468"/>
      <c r="M14" s="468"/>
      <c r="N14" s="468"/>
      <c r="O14" s="481"/>
      <c r="P14" s="10" t="s">
        <v>739</v>
      </c>
      <c r="Q14" s="391" t="s">
        <v>738</v>
      </c>
      <c r="R14" s="268"/>
      <c r="S14" s="268"/>
      <c r="T14" s="268"/>
      <c r="U14" s="268"/>
      <c r="V14" s="268"/>
      <c r="W14" s="268"/>
      <c r="X14" s="268"/>
      <c r="Y14" s="268"/>
      <c r="Z14" s="268"/>
      <c r="AB14" s="251"/>
      <c r="AC14" s="251"/>
      <c r="AD14" s="251"/>
      <c r="AE14" s="251"/>
      <c r="AF14" s="251"/>
    </row>
    <row r="15" spans="2:32">
      <c r="B15" s="570"/>
      <c r="C15" s="560"/>
      <c r="D15" s="565"/>
      <c r="E15" s="481"/>
      <c r="F15" s="501"/>
      <c r="G15" s="219"/>
      <c r="H15" s="219"/>
      <c r="I15" s="219"/>
      <c r="J15" s="567"/>
      <c r="K15" s="468"/>
      <c r="L15" s="468"/>
      <c r="M15" s="468"/>
      <c r="N15" s="468"/>
      <c r="O15" s="481"/>
      <c r="P15" s="36" t="s">
        <v>740</v>
      </c>
      <c r="Q15" s="391" t="s">
        <v>376</v>
      </c>
      <c r="R15" s="268"/>
      <c r="S15" s="268"/>
      <c r="T15" s="268"/>
      <c r="U15" s="268"/>
      <c r="V15" s="268"/>
      <c r="W15" s="268"/>
      <c r="X15" s="268"/>
      <c r="Y15" s="268"/>
      <c r="Z15" s="268"/>
      <c r="AB15" s="251"/>
      <c r="AC15" s="251"/>
      <c r="AD15" s="251"/>
      <c r="AE15" s="251"/>
      <c r="AF15" s="251"/>
    </row>
    <row r="16" spans="2:32">
      <c r="B16" s="570"/>
      <c r="C16" s="560"/>
      <c r="D16" s="574"/>
      <c r="E16" s="575"/>
      <c r="F16" s="502"/>
      <c r="G16" s="220"/>
      <c r="H16" s="220"/>
      <c r="I16" s="220"/>
      <c r="J16" s="580"/>
      <c r="K16" s="479"/>
      <c r="L16" s="479"/>
      <c r="M16" s="479"/>
      <c r="N16" s="479"/>
      <c r="O16" s="575"/>
      <c r="P16" s="12" t="s">
        <v>265</v>
      </c>
      <c r="Q16" s="196" t="s">
        <v>370</v>
      </c>
      <c r="R16" s="259"/>
      <c r="S16" s="260"/>
      <c r="T16" s="260"/>
      <c r="U16" s="260"/>
      <c r="V16" s="260"/>
      <c r="W16" s="260"/>
      <c r="X16" s="260"/>
      <c r="Y16" s="260"/>
      <c r="Z16" s="260"/>
      <c r="AB16" s="251"/>
      <c r="AC16" s="251"/>
      <c r="AD16" s="251"/>
      <c r="AE16" s="251"/>
      <c r="AF16" s="251"/>
    </row>
    <row r="17" spans="2:55" ht="15" customHeight="1">
      <c r="B17" s="570"/>
      <c r="C17" s="560"/>
      <c r="D17" s="564" t="s">
        <v>209</v>
      </c>
      <c r="E17" s="461" t="s">
        <v>393</v>
      </c>
      <c r="F17" s="500" t="s">
        <v>394</v>
      </c>
      <c r="G17" s="219"/>
      <c r="H17" s="219"/>
      <c r="I17" s="219"/>
      <c r="J17" s="562" t="s">
        <v>395</v>
      </c>
      <c r="K17" s="467" t="s">
        <v>465</v>
      </c>
      <c r="L17" s="467" t="s">
        <v>484</v>
      </c>
      <c r="M17" s="467" t="s">
        <v>483</v>
      </c>
      <c r="N17" s="467" t="s">
        <v>461</v>
      </c>
      <c r="O17" s="480" t="s">
        <v>482</v>
      </c>
      <c r="P17" s="10" t="s">
        <v>266</v>
      </c>
      <c r="Q17" s="192" t="s">
        <v>231</v>
      </c>
      <c r="R17" s="258"/>
      <c r="S17" s="258"/>
      <c r="T17" s="258"/>
      <c r="U17" s="258"/>
      <c r="V17" s="258"/>
      <c r="W17" s="258"/>
      <c r="X17" s="258"/>
      <c r="Y17" s="258"/>
      <c r="Z17" s="258"/>
      <c r="AB17" s="251"/>
      <c r="AC17" s="251"/>
      <c r="AD17" s="251"/>
      <c r="AE17" s="251"/>
      <c r="AF17" s="251"/>
    </row>
    <row r="18" spans="2:55" ht="43.5" customHeight="1">
      <c r="B18" s="570"/>
      <c r="C18" s="560"/>
      <c r="D18" s="565"/>
      <c r="E18" s="566"/>
      <c r="F18" s="501"/>
      <c r="G18" s="219"/>
      <c r="H18" s="219"/>
      <c r="I18" s="219"/>
      <c r="J18" s="563"/>
      <c r="K18" s="468"/>
      <c r="L18" s="468"/>
      <c r="M18" s="468"/>
      <c r="N18" s="468"/>
      <c r="O18" s="481"/>
      <c r="P18" s="36" t="s">
        <v>267</v>
      </c>
      <c r="Q18" s="190" t="s">
        <v>370</v>
      </c>
      <c r="R18" s="258"/>
      <c r="S18" s="258"/>
      <c r="T18" s="258"/>
      <c r="U18" s="258"/>
      <c r="V18" s="258"/>
      <c r="W18" s="258"/>
      <c r="X18" s="258"/>
      <c r="Y18" s="258"/>
      <c r="Z18" s="258"/>
      <c r="AB18" s="251"/>
      <c r="AC18" s="251"/>
      <c r="AD18" s="251"/>
      <c r="AE18" s="251"/>
      <c r="AF18" s="251"/>
    </row>
    <row r="19" spans="2:55" ht="36" customHeight="1">
      <c r="B19" s="570"/>
      <c r="C19" s="560"/>
      <c r="D19" s="565"/>
      <c r="E19" s="576"/>
      <c r="F19" s="502"/>
      <c r="G19" s="220"/>
      <c r="H19" s="220"/>
      <c r="I19" s="220"/>
      <c r="J19" s="563"/>
      <c r="K19" s="468"/>
      <c r="L19" s="468"/>
      <c r="M19" s="468"/>
      <c r="N19" s="468"/>
      <c r="O19" s="481"/>
      <c r="P19" s="12" t="s">
        <v>268</v>
      </c>
      <c r="Q19" s="191" t="s">
        <v>231</v>
      </c>
      <c r="R19" s="261"/>
      <c r="S19" s="261"/>
      <c r="T19" s="261"/>
      <c r="U19" s="261"/>
      <c r="V19" s="261"/>
      <c r="W19" s="261"/>
      <c r="X19" s="261"/>
      <c r="Y19" s="261"/>
      <c r="Z19" s="261"/>
      <c r="AB19" s="251"/>
      <c r="AC19" s="251"/>
      <c r="AD19" s="251"/>
      <c r="AE19" s="251"/>
      <c r="AF19" s="251"/>
    </row>
    <row r="20" spans="2:55" ht="34.5" customHeight="1">
      <c r="B20" s="570"/>
      <c r="C20" s="559" t="s">
        <v>119</v>
      </c>
      <c r="D20" s="564" t="s">
        <v>210</v>
      </c>
      <c r="E20" s="461" t="s">
        <v>393</v>
      </c>
      <c r="F20" s="500" t="s">
        <v>394</v>
      </c>
      <c r="G20" s="219"/>
      <c r="H20" s="219"/>
      <c r="I20" s="219"/>
      <c r="J20" s="562" t="s">
        <v>402</v>
      </c>
      <c r="K20" s="467" t="s">
        <v>487</v>
      </c>
      <c r="L20" s="467" t="s">
        <v>473</v>
      </c>
      <c r="M20" s="467" t="s">
        <v>486</v>
      </c>
      <c r="N20" s="467" t="s">
        <v>461</v>
      </c>
      <c r="O20" s="480" t="s">
        <v>485</v>
      </c>
      <c r="P20" s="10" t="s">
        <v>269</v>
      </c>
      <c r="Q20" s="190" t="s">
        <v>231</v>
      </c>
      <c r="R20" s="258"/>
      <c r="S20" s="258"/>
      <c r="T20" s="258"/>
      <c r="U20" s="258"/>
      <c r="V20" s="258"/>
      <c r="W20" s="258"/>
      <c r="X20" s="258"/>
      <c r="Y20" s="258"/>
      <c r="Z20" s="258"/>
      <c r="AB20" s="251"/>
      <c r="AC20" s="251"/>
      <c r="AD20" s="251"/>
      <c r="AE20" s="251"/>
      <c r="AF20" s="251"/>
    </row>
    <row r="21" spans="2:55">
      <c r="B21" s="570"/>
      <c r="C21" s="560"/>
      <c r="D21" s="589"/>
      <c r="E21" s="576"/>
      <c r="F21" s="502"/>
      <c r="G21" s="220"/>
      <c r="H21" s="220"/>
      <c r="I21" s="220"/>
      <c r="J21" s="563"/>
      <c r="K21" s="468"/>
      <c r="L21" s="468"/>
      <c r="M21" s="468"/>
      <c r="N21" s="468"/>
      <c r="O21" s="481"/>
      <c r="P21" s="12" t="s">
        <v>270</v>
      </c>
      <c r="Q21" s="191" t="s">
        <v>231</v>
      </c>
      <c r="R21" s="261"/>
      <c r="S21" s="261"/>
      <c r="T21" s="261"/>
      <c r="U21" s="261"/>
      <c r="V21" s="261"/>
      <c r="W21" s="261"/>
      <c r="X21" s="261"/>
      <c r="Y21" s="261"/>
      <c r="Z21" s="261"/>
      <c r="AB21" s="251"/>
      <c r="AC21" s="251"/>
      <c r="AD21" s="251"/>
      <c r="AE21" s="251"/>
      <c r="AF21" s="251"/>
    </row>
    <row r="22" spans="2:55" ht="33" customHeight="1">
      <c r="B22" s="571"/>
      <c r="C22" s="560" t="s">
        <v>118</v>
      </c>
      <c r="D22" s="564" t="s">
        <v>211</v>
      </c>
      <c r="E22" s="461" t="s">
        <v>393</v>
      </c>
      <c r="F22" s="500" t="s">
        <v>394</v>
      </c>
      <c r="G22" s="219"/>
      <c r="H22" s="219"/>
      <c r="I22" s="583" t="s">
        <v>600</v>
      </c>
      <c r="J22" s="464" t="s">
        <v>395</v>
      </c>
      <c r="K22" s="467" t="s">
        <v>465</v>
      </c>
      <c r="L22" s="467" t="s">
        <v>490</v>
      </c>
      <c r="M22" s="467" t="s">
        <v>489</v>
      </c>
      <c r="N22" s="467" t="s">
        <v>451</v>
      </c>
      <c r="O22" s="480" t="s">
        <v>488</v>
      </c>
      <c r="P22" s="10" t="s">
        <v>271</v>
      </c>
      <c r="Q22" s="190" t="s">
        <v>376</v>
      </c>
      <c r="R22" s="262"/>
      <c r="S22" s="262"/>
      <c r="T22" s="262"/>
      <c r="U22" s="262"/>
      <c r="V22" s="262"/>
      <c r="W22" s="262"/>
      <c r="X22" s="262"/>
      <c r="Y22" s="262"/>
      <c r="Z22" s="262"/>
      <c r="AB22" s="251"/>
      <c r="AC22" s="251"/>
      <c r="AD22" s="251"/>
      <c r="AE22" s="251"/>
      <c r="AF22" s="251"/>
    </row>
    <row r="23" spans="2:55" ht="30.75" customHeight="1">
      <c r="B23" s="572"/>
      <c r="C23" s="560"/>
      <c r="D23" s="565"/>
      <c r="E23" s="566"/>
      <c r="F23" s="501"/>
      <c r="G23" s="219"/>
      <c r="H23" s="219"/>
      <c r="I23" s="584"/>
      <c r="J23" s="567"/>
      <c r="K23" s="468"/>
      <c r="L23" s="468"/>
      <c r="M23" s="468"/>
      <c r="N23" s="468"/>
      <c r="O23" s="481"/>
      <c r="P23" s="11" t="s">
        <v>272</v>
      </c>
      <c r="Q23" s="190" t="s">
        <v>231</v>
      </c>
      <c r="R23" s="263"/>
      <c r="S23" s="263"/>
      <c r="T23" s="263"/>
      <c r="U23" s="263"/>
      <c r="V23" s="263"/>
      <c r="W23" s="263"/>
      <c r="X23" s="263"/>
      <c r="Y23" s="263"/>
      <c r="Z23" s="263"/>
      <c r="AB23" s="251"/>
      <c r="AC23" s="251"/>
      <c r="AD23" s="251"/>
      <c r="AE23" s="251"/>
      <c r="AF23" s="251"/>
      <c r="AU23" s="31"/>
      <c r="AV23" s="31"/>
    </row>
    <row r="24" spans="2:55" ht="34.5" customHeight="1">
      <c r="B24" s="572"/>
      <c r="C24" s="560"/>
      <c r="D24" s="565"/>
      <c r="E24" s="566"/>
      <c r="F24" s="501"/>
      <c r="G24" s="219"/>
      <c r="H24" s="219"/>
      <c r="I24" s="584"/>
      <c r="J24" s="567"/>
      <c r="K24" s="468"/>
      <c r="L24" s="468"/>
      <c r="M24" s="468"/>
      <c r="N24" s="468"/>
      <c r="O24" s="481"/>
      <c r="P24" s="11" t="s">
        <v>273</v>
      </c>
      <c r="Q24" s="190" t="s">
        <v>370</v>
      </c>
      <c r="R24" s="263"/>
      <c r="S24" s="263"/>
      <c r="T24" s="263"/>
      <c r="U24" s="263"/>
      <c r="V24" s="263"/>
      <c r="W24" s="263"/>
      <c r="X24" s="263"/>
      <c r="Y24" s="263"/>
      <c r="Z24" s="263"/>
      <c r="AB24" s="251"/>
      <c r="AC24" s="251"/>
      <c r="AD24" s="251"/>
      <c r="AE24" s="251"/>
      <c r="AF24" s="251"/>
    </row>
    <row r="25" spans="2:55" ht="30.75" customHeight="1">
      <c r="B25" s="572"/>
      <c r="C25" s="560"/>
      <c r="D25" s="565"/>
      <c r="E25" s="566"/>
      <c r="F25" s="501"/>
      <c r="G25" s="219"/>
      <c r="H25" s="219"/>
      <c r="I25" s="584"/>
      <c r="J25" s="567"/>
      <c r="K25" s="468"/>
      <c r="L25" s="468"/>
      <c r="M25" s="468"/>
      <c r="N25" s="468"/>
      <c r="O25" s="481"/>
      <c r="P25" s="11" t="s">
        <v>274</v>
      </c>
      <c r="Q25" s="190" t="s">
        <v>370</v>
      </c>
      <c r="R25" s="263"/>
      <c r="S25" s="263"/>
      <c r="T25" s="263"/>
      <c r="U25" s="263"/>
      <c r="V25" s="263"/>
      <c r="W25" s="264"/>
      <c r="X25" s="263"/>
      <c r="Y25" s="263"/>
      <c r="Z25" s="263"/>
      <c r="AB25" s="251"/>
      <c r="AC25" s="251"/>
      <c r="AD25" s="251"/>
      <c r="AE25" s="251"/>
      <c r="AF25" s="251"/>
      <c r="AS25" s="38"/>
    </row>
    <row r="26" spans="2:55">
      <c r="B26" s="572"/>
      <c r="C26" s="560"/>
      <c r="D26" s="565"/>
      <c r="E26" s="566"/>
      <c r="F26" s="502"/>
      <c r="G26" s="220"/>
      <c r="H26" s="220"/>
      <c r="I26" s="585"/>
      <c r="J26" s="580"/>
      <c r="K26" s="468"/>
      <c r="L26" s="468"/>
      <c r="M26" s="468"/>
      <c r="N26" s="468"/>
      <c r="O26" s="481"/>
      <c r="P26" s="11" t="s">
        <v>275</v>
      </c>
      <c r="Q26" s="190" t="s">
        <v>370</v>
      </c>
      <c r="R26" s="265"/>
      <c r="S26" s="265"/>
      <c r="T26" s="265"/>
      <c r="U26" s="265"/>
      <c r="V26" s="265"/>
      <c r="W26" s="265"/>
      <c r="X26" s="265"/>
      <c r="Y26" s="265"/>
      <c r="Z26" s="265"/>
      <c r="AB26" s="251"/>
      <c r="AC26" s="251"/>
      <c r="AD26" s="251"/>
      <c r="AE26" s="251"/>
      <c r="AF26" s="251"/>
      <c r="AS26" s="31"/>
    </row>
    <row r="27" spans="2:55">
      <c r="B27" s="572"/>
      <c r="C27" s="560"/>
      <c r="D27" s="564" t="s">
        <v>396</v>
      </c>
      <c r="E27" s="461" t="s">
        <v>595</v>
      </c>
      <c r="F27" s="500" t="s">
        <v>596</v>
      </c>
      <c r="G27" s="219"/>
      <c r="H27" s="219"/>
      <c r="I27" s="219"/>
      <c r="J27" s="464" t="s">
        <v>395</v>
      </c>
      <c r="K27" s="467" t="s">
        <v>465</v>
      </c>
      <c r="L27" s="467" t="s">
        <v>490</v>
      </c>
      <c r="M27" s="467" t="s">
        <v>492</v>
      </c>
      <c r="N27" s="467" t="s">
        <v>451</v>
      </c>
      <c r="O27" s="480" t="s">
        <v>491</v>
      </c>
      <c r="P27" s="11" t="s">
        <v>276</v>
      </c>
      <c r="Q27" s="192" t="s">
        <v>231</v>
      </c>
      <c r="R27" s="263"/>
      <c r="S27" s="263"/>
      <c r="T27" s="263"/>
      <c r="U27" s="263"/>
      <c r="V27" s="263"/>
      <c r="W27" s="263"/>
      <c r="X27" s="263"/>
      <c r="Y27" s="263"/>
      <c r="Z27" s="263"/>
      <c r="AB27" s="251"/>
      <c r="AC27" s="251"/>
      <c r="AD27" s="251"/>
      <c r="AE27" s="251"/>
      <c r="AF27" s="251"/>
    </row>
    <row r="28" spans="2:55">
      <c r="B28" s="572"/>
      <c r="C28" s="560"/>
      <c r="D28" s="565"/>
      <c r="E28" s="566"/>
      <c r="F28" s="501"/>
      <c r="G28" s="219"/>
      <c r="H28" s="219"/>
      <c r="I28" s="219"/>
      <c r="J28" s="567"/>
      <c r="K28" s="468"/>
      <c r="L28" s="468"/>
      <c r="M28" s="468"/>
      <c r="N28" s="468"/>
      <c r="O28" s="481"/>
      <c r="P28" s="11" t="s">
        <v>277</v>
      </c>
      <c r="Q28" s="190" t="s">
        <v>375</v>
      </c>
      <c r="R28" s="258"/>
      <c r="S28" s="258"/>
      <c r="T28" s="258"/>
      <c r="U28" s="258"/>
      <c r="V28" s="258"/>
      <c r="W28" s="258"/>
      <c r="X28" s="258"/>
      <c r="Y28" s="258"/>
      <c r="Z28" s="258"/>
      <c r="AB28" s="251"/>
      <c r="AC28" s="251"/>
      <c r="AD28" s="251"/>
      <c r="AE28" s="251"/>
      <c r="AF28" s="251"/>
      <c r="AS28" s="241"/>
      <c r="BB28" s="45"/>
    </row>
    <row r="29" spans="2:55">
      <c r="B29" s="572"/>
      <c r="C29" s="560"/>
      <c r="D29" s="565"/>
      <c r="E29" s="566"/>
      <c r="F29" s="501"/>
      <c r="G29" s="219"/>
      <c r="H29" s="219"/>
      <c r="I29" s="219"/>
      <c r="J29" s="567"/>
      <c r="K29" s="468"/>
      <c r="L29" s="468"/>
      <c r="M29" s="468"/>
      <c r="N29" s="468"/>
      <c r="O29" s="481"/>
      <c r="P29" s="11" t="s">
        <v>278</v>
      </c>
      <c r="Q29" s="190" t="s">
        <v>231</v>
      </c>
      <c r="R29" s="258"/>
      <c r="S29" s="258"/>
      <c r="T29" s="258"/>
      <c r="U29" s="258"/>
      <c r="V29" s="258"/>
      <c r="W29" s="258"/>
      <c r="X29" s="258"/>
      <c r="Y29" s="258"/>
      <c r="Z29" s="258"/>
      <c r="AB29" s="251"/>
      <c r="AC29" s="251"/>
      <c r="AD29" s="251"/>
      <c r="AE29" s="251"/>
      <c r="AF29" s="251"/>
      <c r="BB29" s="45"/>
    </row>
    <row r="30" spans="2:55">
      <c r="B30" s="572"/>
      <c r="C30" s="560"/>
      <c r="D30" s="565"/>
      <c r="E30" s="566"/>
      <c r="F30" s="501"/>
      <c r="G30" s="219"/>
      <c r="H30" s="219"/>
      <c r="I30" s="219"/>
      <c r="J30" s="567"/>
      <c r="K30" s="468"/>
      <c r="L30" s="468"/>
      <c r="M30" s="468"/>
      <c r="N30" s="468"/>
      <c r="O30" s="481"/>
      <c r="P30" s="11" t="s">
        <v>279</v>
      </c>
      <c r="Q30" s="190" t="s">
        <v>231</v>
      </c>
      <c r="R30" s="258"/>
      <c r="S30" s="258"/>
      <c r="T30" s="258"/>
      <c r="U30" s="258"/>
      <c r="V30" s="258"/>
      <c r="W30" s="258"/>
      <c r="X30" s="258"/>
      <c r="Y30" s="258"/>
      <c r="Z30" s="258"/>
      <c r="AB30" s="251"/>
      <c r="AC30" s="251"/>
      <c r="AD30" s="251"/>
      <c r="AE30" s="251"/>
      <c r="AF30" s="251"/>
      <c r="AX30" s="45"/>
      <c r="BB30" s="45"/>
      <c r="BC30" s="45"/>
    </row>
    <row r="31" spans="2:55">
      <c r="B31" s="572"/>
      <c r="C31" s="560"/>
      <c r="D31" s="565"/>
      <c r="E31" s="566"/>
      <c r="F31" s="502"/>
      <c r="G31" s="220"/>
      <c r="H31" s="220"/>
      <c r="I31" s="220"/>
      <c r="J31" s="567"/>
      <c r="K31" s="468"/>
      <c r="L31" s="468"/>
      <c r="M31" s="468"/>
      <c r="N31" s="468"/>
      <c r="O31" s="481"/>
      <c r="P31" s="179" t="s">
        <v>280</v>
      </c>
      <c r="Q31" s="202" t="s">
        <v>376</v>
      </c>
      <c r="R31" s="259"/>
      <c r="S31" s="260"/>
      <c r="T31" s="260"/>
      <c r="U31" s="260"/>
      <c r="V31" s="260"/>
      <c r="W31" s="260"/>
      <c r="X31" s="260"/>
      <c r="Y31" s="260"/>
      <c r="Z31" s="260"/>
      <c r="AB31" s="255"/>
      <c r="AC31" s="251"/>
      <c r="AD31" s="254"/>
      <c r="AE31" s="312"/>
      <c r="AF31" s="312"/>
      <c r="AS31" s="242"/>
      <c r="AX31" s="45"/>
      <c r="AY31" s="45"/>
      <c r="BA31" s="45"/>
    </row>
    <row r="32" spans="2:55" ht="27.75" customHeight="1">
      <c r="B32" s="572"/>
      <c r="C32" s="560"/>
      <c r="D32" s="564" t="s">
        <v>212</v>
      </c>
      <c r="E32" s="461" t="s">
        <v>595</v>
      </c>
      <c r="F32" s="500" t="s">
        <v>597</v>
      </c>
      <c r="G32" s="219"/>
      <c r="H32" s="219"/>
      <c r="I32" s="500" t="s">
        <v>600</v>
      </c>
      <c r="J32" s="464" t="s">
        <v>395</v>
      </c>
      <c r="K32" s="467" t="s">
        <v>452</v>
      </c>
      <c r="L32" s="467" t="s">
        <v>495</v>
      </c>
      <c r="M32" s="467" t="s">
        <v>494</v>
      </c>
      <c r="N32" s="467" t="s">
        <v>479</v>
      </c>
      <c r="O32" s="480" t="s">
        <v>493</v>
      </c>
      <c r="P32" s="11" t="s">
        <v>281</v>
      </c>
      <c r="Q32" s="190" t="s">
        <v>370</v>
      </c>
      <c r="R32" s="262"/>
      <c r="S32" s="262"/>
      <c r="T32" s="262"/>
      <c r="U32" s="262"/>
      <c r="V32" s="262"/>
      <c r="W32" s="262"/>
      <c r="X32" s="262"/>
      <c r="Y32" s="262"/>
      <c r="Z32" s="262"/>
      <c r="AB32" s="251"/>
      <c r="AC32" s="251"/>
      <c r="AD32" s="251"/>
      <c r="AE32" s="312"/>
      <c r="AF32" s="312"/>
      <c r="BA32" s="45"/>
    </row>
    <row r="33" spans="2:53" ht="25.5" customHeight="1">
      <c r="B33" s="572"/>
      <c r="C33" s="560"/>
      <c r="D33" s="565"/>
      <c r="E33" s="566"/>
      <c r="F33" s="501"/>
      <c r="G33" s="219"/>
      <c r="H33" s="219"/>
      <c r="I33" s="501"/>
      <c r="J33" s="567"/>
      <c r="K33" s="468"/>
      <c r="L33" s="468"/>
      <c r="M33" s="468"/>
      <c r="N33" s="468"/>
      <c r="O33" s="481"/>
      <c r="P33" s="11" t="s">
        <v>282</v>
      </c>
      <c r="Q33" s="190" t="s">
        <v>231</v>
      </c>
      <c r="R33" s="262"/>
      <c r="S33" s="262"/>
      <c r="T33" s="262"/>
      <c r="U33" s="262"/>
      <c r="V33" s="262"/>
      <c r="W33" s="262"/>
      <c r="X33" s="262"/>
      <c r="Y33" s="262"/>
      <c r="Z33" s="262"/>
      <c r="AB33" s="251"/>
      <c r="AC33" s="251"/>
      <c r="AD33" s="251"/>
      <c r="AE33" s="312"/>
      <c r="AF33" s="312"/>
      <c r="BA33" s="46"/>
    </row>
    <row r="34" spans="2:53">
      <c r="B34" s="572"/>
      <c r="C34" s="560"/>
      <c r="D34" s="565"/>
      <c r="E34" s="566"/>
      <c r="F34" s="501"/>
      <c r="G34" s="219"/>
      <c r="H34" s="219"/>
      <c r="I34" s="501"/>
      <c r="J34" s="567"/>
      <c r="K34" s="468"/>
      <c r="L34" s="468"/>
      <c r="M34" s="468"/>
      <c r="N34" s="468"/>
      <c r="O34" s="481"/>
      <c r="P34" s="11" t="s">
        <v>283</v>
      </c>
      <c r="Q34" s="190" t="s">
        <v>231</v>
      </c>
      <c r="R34" s="262"/>
      <c r="S34" s="262"/>
      <c r="T34" s="262"/>
      <c r="U34" s="262"/>
      <c r="V34" s="262"/>
      <c r="W34" s="262"/>
      <c r="X34" s="262"/>
      <c r="Y34" s="262"/>
      <c r="Z34" s="262"/>
      <c r="AB34" s="251"/>
      <c r="AC34" s="251"/>
      <c r="AD34" s="251"/>
      <c r="AE34" s="312"/>
      <c r="AF34" s="312"/>
    </row>
    <row r="35" spans="2:53" ht="21" customHeight="1">
      <c r="B35" s="572"/>
      <c r="C35" s="560"/>
      <c r="D35" s="565"/>
      <c r="E35" s="566"/>
      <c r="F35" s="501"/>
      <c r="G35" s="219"/>
      <c r="H35" s="219"/>
      <c r="I35" s="501"/>
      <c r="J35" s="567"/>
      <c r="K35" s="468"/>
      <c r="L35" s="468"/>
      <c r="M35" s="468"/>
      <c r="N35" s="468"/>
      <c r="O35" s="481"/>
      <c r="P35" s="11" t="s">
        <v>284</v>
      </c>
      <c r="Q35" s="190" t="s">
        <v>375</v>
      </c>
      <c r="R35" s="262"/>
      <c r="S35" s="262"/>
      <c r="T35" s="262"/>
      <c r="U35" s="262"/>
      <c r="V35" s="262"/>
      <c r="W35" s="262"/>
      <c r="X35" s="262"/>
      <c r="Y35" s="262"/>
      <c r="Z35" s="262"/>
      <c r="AB35" s="251"/>
      <c r="AC35" s="251"/>
      <c r="AD35" s="251"/>
      <c r="AE35" s="312"/>
      <c r="AF35" s="312"/>
    </row>
    <row r="36" spans="2:53" ht="38.25" customHeight="1">
      <c r="B36" s="572"/>
      <c r="C36" s="561"/>
      <c r="D36" s="565"/>
      <c r="E36" s="566"/>
      <c r="F36" s="502"/>
      <c r="G36" s="220"/>
      <c r="H36" s="220"/>
      <c r="I36" s="501"/>
      <c r="J36" s="567"/>
      <c r="K36" s="468"/>
      <c r="L36" s="468"/>
      <c r="M36" s="468"/>
      <c r="N36" s="468"/>
      <c r="O36" s="481"/>
      <c r="P36" s="181" t="s">
        <v>285</v>
      </c>
      <c r="Q36" s="202" t="s">
        <v>376</v>
      </c>
      <c r="R36" s="265"/>
      <c r="S36" s="265"/>
      <c r="T36" s="265"/>
      <c r="U36" s="265"/>
      <c r="V36" s="265"/>
      <c r="W36" s="265"/>
      <c r="X36" s="265"/>
      <c r="Y36" s="265"/>
      <c r="Z36" s="265"/>
      <c r="AB36" s="256"/>
      <c r="AC36" s="251"/>
      <c r="AD36" s="254"/>
      <c r="AE36" s="312"/>
      <c r="AF36" s="312"/>
      <c r="AS36" s="31"/>
      <c r="AX36" s="45"/>
    </row>
    <row r="37" spans="2:53" ht="15" customHeight="1">
      <c r="B37" s="572"/>
      <c r="C37" s="586" t="s">
        <v>121</v>
      </c>
      <c r="D37" s="564" t="s">
        <v>213</v>
      </c>
      <c r="E37" s="461" t="s">
        <v>401</v>
      </c>
      <c r="F37" s="500" t="s">
        <v>400</v>
      </c>
      <c r="G37" s="219"/>
      <c r="H37" s="219"/>
      <c r="I37" s="500" t="s">
        <v>397</v>
      </c>
      <c r="J37" s="464" t="s">
        <v>395</v>
      </c>
      <c r="K37" s="467" t="s">
        <v>465</v>
      </c>
      <c r="L37" s="467" t="s">
        <v>498</v>
      </c>
      <c r="M37" s="467" t="s">
        <v>497</v>
      </c>
      <c r="N37" s="467" t="s">
        <v>479</v>
      </c>
      <c r="O37" s="480" t="s">
        <v>496</v>
      </c>
      <c r="P37" s="11" t="s">
        <v>286</v>
      </c>
      <c r="Q37" s="190" t="s">
        <v>370</v>
      </c>
      <c r="R37" s="263"/>
      <c r="S37" s="263"/>
      <c r="T37" s="263"/>
      <c r="U37" s="263"/>
      <c r="V37" s="263"/>
      <c r="W37" s="263"/>
      <c r="X37" s="263"/>
      <c r="Y37" s="263"/>
      <c r="Z37" s="263"/>
      <c r="AB37" s="251"/>
      <c r="AC37" s="251"/>
      <c r="AD37" s="251"/>
      <c r="AE37" s="312"/>
      <c r="AF37" s="312"/>
      <c r="AS37" s="31"/>
    </row>
    <row r="38" spans="2:53" ht="15" customHeight="1">
      <c r="B38" s="572"/>
      <c r="C38" s="587"/>
      <c r="D38" s="565"/>
      <c r="E38" s="566"/>
      <c r="F38" s="501"/>
      <c r="G38" s="219"/>
      <c r="H38" s="219"/>
      <c r="I38" s="501"/>
      <c r="J38" s="567"/>
      <c r="K38" s="468"/>
      <c r="L38" s="468"/>
      <c r="M38" s="468"/>
      <c r="N38" s="468"/>
      <c r="O38" s="481"/>
      <c r="P38" s="36" t="s">
        <v>287</v>
      </c>
      <c r="Q38" s="193" t="s">
        <v>376</v>
      </c>
      <c r="R38" s="262"/>
      <c r="S38" s="262"/>
      <c r="T38" s="262"/>
      <c r="U38" s="262"/>
      <c r="V38" s="262"/>
      <c r="W38" s="262"/>
      <c r="X38" s="262"/>
      <c r="Y38" s="262"/>
      <c r="Z38" s="262"/>
      <c r="AB38" s="251"/>
      <c r="AC38" s="251"/>
      <c r="AD38" s="251"/>
      <c r="AE38" s="312"/>
      <c r="AF38" s="312"/>
      <c r="AS38" s="31"/>
    </row>
    <row r="39" spans="2:53" ht="15" customHeight="1">
      <c r="B39" s="572"/>
      <c r="C39" s="587"/>
      <c r="D39" s="565"/>
      <c r="E39" s="566"/>
      <c r="F39" s="501"/>
      <c r="G39" s="219"/>
      <c r="H39" s="219"/>
      <c r="I39" s="501"/>
      <c r="J39" s="567"/>
      <c r="K39" s="468"/>
      <c r="L39" s="468"/>
      <c r="M39" s="468"/>
      <c r="N39" s="468"/>
      <c r="O39" s="481"/>
      <c r="P39" s="36" t="s">
        <v>288</v>
      </c>
      <c r="Q39" s="189" t="s">
        <v>370</v>
      </c>
      <c r="R39" s="262"/>
      <c r="S39" s="262"/>
      <c r="T39" s="262"/>
      <c r="U39" s="262"/>
      <c r="V39" s="262"/>
      <c r="W39" s="262"/>
      <c r="X39" s="262"/>
      <c r="Y39" s="262"/>
      <c r="Z39" s="262"/>
      <c r="AB39" s="251"/>
      <c r="AC39" s="251"/>
      <c r="AD39" s="251"/>
      <c r="AE39" s="312"/>
      <c r="AF39" s="312"/>
      <c r="AS39" s="31"/>
    </row>
    <row r="40" spans="2:53" ht="15" customHeight="1">
      <c r="B40" s="572"/>
      <c r="C40" s="587"/>
      <c r="D40" s="565"/>
      <c r="E40" s="566"/>
      <c r="F40" s="501"/>
      <c r="G40" s="219"/>
      <c r="H40" s="219"/>
      <c r="I40" s="501"/>
      <c r="J40" s="567"/>
      <c r="K40" s="468"/>
      <c r="L40" s="468"/>
      <c r="M40" s="468"/>
      <c r="N40" s="468"/>
      <c r="O40" s="481"/>
      <c r="P40" s="36" t="s">
        <v>289</v>
      </c>
      <c r="Q40" s="189" t="s">
        <v>370</v>
      </c>
      <c r="R40" s="262"/>
      <c r="S40" s="262"/>
      <c r="T40" s="262"/>
      <c r="U40" s="262"/>
      <c r="V40" s="262"/>
      <c r="W40" s="262"/>
      <c r="X40" s="262"/>
      <c r="Y40" s="262"/>
      <c r="Z40" s="262"/>
      <c r="AB40" s="251"/>
      <c r="AC40" s="251"/>
      <c r="AD40" s="251"/>
      <c r="AE40" s="312"/>
      <c r="AF40" s="312"/>
      <c r="AS40" s="31"/>
    </row>
    <row r="41" spans="2:53" ht="15" customHeight="1">
      <c r="B41" s="572"/>
      <c r="C41" s="587"/>
      <c r="D41" s="565"/>
      <c r="E41" s="566"/>
      <c r="F41" s="501"/>
      <c r="G41" s="219"/>
      <c r="H41" s="219"/>
      <c r="I41" s="501"/>
      <c r="J41" s="567"/>
      <c r="K41" s="468"/>
      <c r="L41" s="468"/>
      <c r="M41" s="468"/>
      <c r="N41" s="468"/>
      <c r="O41" s="481"/>
      <c r="P41" s="36" t="s">
        <v>290</v>
      </c>
      <c r="Q41" s="189" t="s">
        <v>231</v>
      </c>
      <c r="R41" s="262"/>
      <c r="S41" s="262"/>
      <c r="T41" s="262"/>
      <c r="U41" s="262"/>
      <c r="V41" s="262"/>
      <c r="W41" s="262"/>
      <c r="X41" s="262"/>
      <c r="Y41" s="262"/>
      <c r="Z41" s="262"/>
      <c r="AB41" s="251"/>
      <c r="AC41" s="251"/>
      <c r="AD41" s="251"/>
      <c r="AE41" s="312"/>
      <c r="AF41" s="312"/>
      <c r="AS41" s="31"/>
    </row>
    <row r="42" spans="2:53" ht="15" customHeight="1">
      <c r="B42" s="572"/>
      <c r="C42" s="587"/>
      <c r="D42" s="565"/>
      <c r="E42" s="566"/>
      <c r="F42" s="502"/>
      <c r="G42" s="220"/>
      <c r="H42" s="220"/>
      <c r="I42" s="502"/>
      <c r="J42" s="567"/>
      <c r="K42" s="468"/>
      <c r="L42" s="468"/>
      <c r="M42" s="468"/>
      <c r="N42" s="468"/>
      <c r="O42" s="481"/>
      <c r="P42" s="181" t="s">
        <v>291</v>
      </c>
      <c r="Q42" s="202" t="s">
        <v>376</v>
      </c>
      <c r="R42" s="266"/>
      <c r="S42" s="261"/>
      <c r="T42" s="261"/>
      <c r="U42" s="261"/>
      <c r="V42" s="261"/>
      <c r="W42" s="261"/>
      <c r="X42" s="261"/>
      <c r="Y42" s="261"/>
      <c r="Z42" s="261"/>
      <c r="AB42" s="256"/>
      <c r="AC42" s="251"/>
      <c r="AD42" s="254"/>
      <c r="AE42" s="312"/>
      <c r="AF42" s="312"/>
      <c r="AS42" s="31"/>
    </row>
    <row r="43" spans="2:53" ht="15" customHeight="1">
      <c r="B43" s="572"/>
      <c r="C43" s="587"/>
      <c r="D43" s="577" t="s">
        <v>214</v>
      </c>
      <c r="E43" s="461" t="s">
        <v>398</v>
      </c>
      <c r="F43" s="500" t="s">
        <v>399</v>
      </c>
      <c r="G43" s="219"/>
      <c r="H43" s="219"/>
      <c r="I43" s="219"/>
      <c r="J43" s="464" t="s">
        <v>395</v>
      </c>
      <c r="K43" s="467" t="s">
        <v>472</v>
      </c>
      <c r="L43" s="467" t="s">
        <v>473</v>
      </c>
      <c r="M43" s="467" t="s">
        <v>500</v>
      </c>
      <c r="N43" s="467" t="s">
        <v>479</v>
      </c>
      <c r="O43" s="467" t="s">
        <v>499</v>
      </c>
      <c r="P43" s="10" t="s">
        <v>292</v>
      </c>
      <c r="Q43" s="194" t="s">
        <v>231</v>
      </c>
      <c r="R43" s="262"/>
      <c r="S43" s="262"/>
      <c r="T43" s="262"/>
      <c r="U43" s="262"/>
      <c r="V43" s="262"/>
      <c r="W43" s="262"/>
      <c r="X43" s="262"/>
      <c r="Y43" s="262"/>
      <c r="Z43" s="262"/>
      <c r="AB43" s="251"/>
      <c r="AC43" s="251"/>
      <c r="AD43" s="251"/>
      <c r="AE43" s="311"/>
      <c r="AF43" s="311"/>
      <c r="AS43" s="31"/>
    </row>
    <row r="44" spans="2:53" ht="20.25" customHeight="1">
      <c r="B44" s="572"/>
      <c r="C44" s="587"/>
      <c r="D44" s="578"/>
      <c r="E44" s="566"/>
      <c r="F44" s="501"/>
      <c r="G44" s="219"/>
      <c r="H44" s="219"/>
      <c r="I44" s="219"/>
      <c r="J44" s="567"/>
      <c r="K44" s="468"/>
      <c r="L44" s="468"/>
      <c r="M44" s="468"/>
      <c r="N44" s="468"/>
      <c r="O44" s="468"/>
      <c r="P44" s="36" t="s">
        <v>377</v>
      </c>
      <c r="Q44" s="194" t="s">
        <v>231</v>
      </c>
      <c r="R44" s="263"/>
      <c r="S44" s="263"/>
      <c r="T44" s="263"/>
      <c r="U44" s="263"/>
      <c r="V44" s="263"/>
      <c r="W44" s="263"/>
      <c r="X44" s="263"/>
      <c r="Y44" s="263"/>
      <c r="Z44" s="263"/>
      <c r="AB44" s="251"/>
      <c r="AC44" s="251"/>
      <c r="AD44" s="251"/>
      <c r="AE44" s="311"/>
      <c r="AF44" s="311"/>
      <c r="AS44" s="31"/>
    </row>
    <row r="45" spans="2:53" ht="20.25" customHeight="1">
      <c r="B45" s="572"/>
      <c r="C45" s="587"/>
      <c r="D45" s="578"/>
      <c r="E45" s="566"/>
      <c r="F45" s="501"/>
      <c r="G45" s="219"/>
      <c r="H45" s="219"/>
      <c r="I45" s="219"/>
      <c r="J45" s="567"/>
      <c r="K45" s="468"/>
      <c r="L45" s="468"/>
      <c r="M45" s="468"/>
      <c r="N45" s="468"/>
      <c r="O45" s="468"/>
      <c r="P45" s="36" t="s">
        <v>293</v>
      </c>
      <c r="Q45" s="194" t="s">
        <v>370</v>
      </c>
      <c r="R45" s="263"/>
      <c r="S45" s="263"/>
      <c r="T45" s="263"/>
      <c r="U45" s="263"/>
      <c r="V45" s="263"/>
      <c r="W45" s="263"/>
      <c r="X45" s="263"/>
      <c r="Y45" s="263"/>
      <c r="Z45" s="263"/>
      <c r="AB45" s="251"/>
      <c r="AC45" s="251"/>
      <c r="AD45" s="251"/>
      <c r="AE45" s="251"/>
      <c r="AF45" s="251"/>
      <c r="AS45" s="31"/>
    </row>
    <row r="46" spans="2:53" ht="20.25" customHeight="1">
      <c r="B46" s="572"/>
      <c r="C46" s="587"/>
      <c r="D46" s="578"/>
      <c r="E46" s="566"/>
      <c r="F46" s="501"/>
      <c r="G46" s="219"/>
      <c r="H46" s="219"/>
      <c r="I46" s="219"/>
      <c r="J46" s="567"/>
      <c r="K46" s="468"/>
      <c r="L46" s="468"/>
      <c r="M46" s="468"/>
      <c r="N46" s="468"/>
      <c r="O46" s="468"/>
      <c r="P46" s="36" t="s">
        <v>294</v>
      </c>
      <c r="Q46" s="194" t="s">
        <v>370</v>
      </c>
      <c r="R46" s="263"/>
      <c r="S46" s="263"/>
      <c r="T46" s="263"/>
      <c r="U46" s="263"/>
      <c r="V46" s="263"/>
      <c r="W46" s="263"/>
      <c r="X46" s="263"/>
      <c r="Y46" s="263"/>
      <c r="Z46" s="263"/>
      <c r="AB46" s="251"/>
      <c r="AC46" s="251"/>
      <c r="AD46" s="251"/>
      <c r="AE46" s="251"/>
      <c r="AF46" s="251"/>
      <c r="AS46" s="31"/>
    </row>
    <row r="47" spans="2:53" ht="20.25" customHeight="1">
      <c r="B47" s="572"/>
      <c r="C47" s="587"/>
      <c r="D47" s="578"/>
      <c r="E47" s="566"/>
      <c r="F47" s="501"/>
      <c r="G47" s="219"/>
      <c r="H47" s="219"/>
      <c r="I47" s="219"/>
      <c r="J47" s="567"/>
      <c r="K47" s="468"/>
      <c r="L47" s="468"/>
      <c r="M47" s="468"/>
      <c r="N47" s="468"/>
      <c r="O47" s="468"/>
      <c r="P47" s="392" t="s">
        <v>737</v>
      </c>
      <c r="Q47" s="393" t="s">
        <v>376</v>
      </c>
      <c r="R47" s="263"/>
      <c r="S47" s="263"/>
      <c r="T47" s="263"/>
      <c r="U47" s="263"/>
      <c r="V47" s="263"/>
      <c r="W47" s="263"/>
      <c r="X47" s="263"/>
      <c r="Y47" s="263"/>
      <c r="Z47" s="263"/>
      <c r="AB47" s="251"/>
      <c r="AC47" s="251"/>
      <c r="AD47" s="251"/>
      <c r="AE47" s="251"/>
      <c r="AF47" s="251"/>
      <c r="AS47" s="31"/>
    </row>
    <row r="48" spans="2:53" ht="20.25" customHeight="1">
      <c r="B48" s="572"/>
      <c r="C48" s="587"/>
      <c r="D48" s="579"/>
      <c r="E48" s="582"/>
      <c r="F48" s="551"/>
      <c r="G48" s="220"/>
      <c r="H48" s="220"/>
      <c r="I48" s="220"/>
      <c r="J48" s="581"/>
      <c r="K48" s="558"/>
      <c r="L48" s="558"/>
      <c r="M48" s="558"/>
      <c r="N48" s="558"/>
      <c r="O48" s="558"/>
      <c r="P48" s="181" t="s">
        <v>295</v>
      </c>
      <c r="Q48" s="202" t="s">
        <v>376</v>
      </c>
      <c r="R48" s="263"/>
      <c r="S48" s="263"/>
      <c r="T48" s="263"/>
      <c r="U48" s="263"/>
      <c r="V48" s="263"/>
      <c r="W48" s="263"/>
      <c r="X48" s="263"/>
      <c r="Y48" s="263"/>
      <c r="Z48" s="263"/>
      <c r="AB48" s="251"/>
      <c r="AC48" s="251"/>
      <c r="AD48" s="251"/>
      <c r="AE48" s="251"/>
      <c r="AF48" s="251"/>
      <c r="AS48" s="31"/>
    </row>
    <row r="49" spans="2:46" ht="21" thickBot="1">
      <c r="B49" s="573"/>
      <c r="C49" s="124"/>
      <c r="D49" s="182"/>
      <c r="E49" s="221"/>
      <c r="F49" s="222"/>
      <c r="G49" s="222"/>
      <c r="H49" s="222"/>
      <c r="I49" s="223"/>
      <c r="J49" s="224"/>
      <c r="K49" s="20"/>
      <c r="L49" s="20"/>
      <c r="M49" s="18"/>
      <c r="N49" s="18"/>
      <c r="O49" s="19"/>
      <c r="P49" s="183"/>
      <c r="Q49" s="21"/>
      <c r="R49" s="19"/>
      <c r="S49" s="19"/>
      <c r="T49" s="19"/>
      <c r="U49" s="19"/>
      <c r="V49" s="19"/>
      <c r="W49" s="19"/>
      <c r="X49" s="19"/>
      <c r="Y49" s="19"/>
      <c r="Z49" s="19"/>
      <c r="AB49" s="251"/>
      <c r="AC49" s="251"/>
      <c r="AD49" s="251"/>
      <c r="AE49" s="251"/>
      <c r="AF49" s="251"/>
      <c r="AS49" s="6"/>
      <c r="AT49" s="6"/>
    </row>
    <row r="50" spans="2:46">
      <c r="B50" s="22"/>
      <c r="C50" s="22"/>
      <c r="D50" s="23"/>
      <c r="E50" s="24"/>
      <c r="F50" s="24"/>
      <c r="G50" s="24"/>
      <c r="H50" s="24"/>
      <c r="I50" s="25"/>
      <c r="J50" s="26"/>
      <c r="K50" s="26"/>
      <c r="L50" s="26"/>
      <c r="M50" s="26"/>
      <c r="N50" s="26"/>
      <c r="O50" s="27"/>
      <c r="P50" s="28"/>
      <c r="Q50" s="7"/>
      <c r="AS50" s="45"/>
    </row>
    <row r="51" spans="2:46">
      <c r="B51" s="29"/>
      <c r="C51" s="29"/>
      <c r="D51" s="29"/>
      <c r="E51" s="29"/>
      <c r="F51" s="29"/>
      <c r="G51" s="29"/>
      <c r="H51" s="29"/>
      <c r="I51" s="29"/>
      <c r="J51" s="30"/>
      <c r="K51" s="30"/>
      <c r="L51" s="30"/>
      <c r="M51" s="488" t="s">
        <v>12</v>
      </c>
      <c r="N51" s="488"/>
      <c r="O51" s="489"/>
      <c r="P51" s="477" t="s">
        <v>18</v>
      </c>
      <c r="R51" s="469"/>
      <c r="S51" s="469"/>
      <c r="T51" s="469"/>
      <c r="U51" s="469"/>
      <c r="V51" s="469"/>
      <c r="W51" s="469"/>
      <c r="X51" s="469"/>
      <c r="Y51" s="469"/>
      <c r="Z51" s="470"/>
      <c r="AS51" s="45"/>
    </row>
    <row r="52" spans="2:46">
      <c r="B52" s="29"/>
      <c r="C52" s="29"/>
      <c r="D52" s="29"/>
      <c r="E52" s="29"/>
      <c r="F52" s="29"/>
      <c r="G52" s="29"/>
      <c r="H52" s="29"/>
      <c r="I52" s="29"/>
      <c r="J52" s="29"/>
      <c r="K52" s="29"/>
      <c r="L52" s="29"/>
      <c r="M52" s="488"/>
      <c r="N52" s="488"/>
      <c r="O52" s="489"/>
      <c r="P52" s="478"/>
      <c r="R52" s="471"/>
      <c r="S52" s="471"/>
      <c r="T52" s="471"/>
      <c r="U52" s="471"/>
      <c r="V52" s="471"/>
      <c r="W52" s="471"/>
      <c r="X52" s="471"/>
      <c r="Y52" s="471"/>
      <c r="Z52" s="472"/>
    </row>
    <row r="53" spans="2:46">
      <c r="B53" s="29"/>
      <c r="C53" s="29"/>
      <c r="D53" s="29"/>
      <c r="E53" s="29"/>
      <c r="F53" s="29"/>
      <c r="G53" s="29"/>
      <c r="H53" s="29"/>
      <c r="I53" s="29"/>
      <c r="J53" s="29"/>
      <c r="K53" s="29"/>
      <c r="L53" s="29"/>
      <c r="M53" s="32"/>
      <c r="N53" s="32"/>
      <c r="O53" s="32"/>
      <c r="P53" s="32"/>
      <c r="R53" s="43"/>
      <c r="S53" s="43"/>
      <c r="T53" s="43"/>
      <c r="U53" s="43"/>
      <c r="V53" s="43"/>
      <c r="W53" s="43"/>
      <c r="X53" s="43"/>
      <c r="Y53" s="43"/>
      <c r="Z53" s="43"/>
    </row>
    <row r="54" spans="2:46">
      <c r="B54" s="29"/>
      <c r="C54" s="29"/>
      <c r="D54" s="29"/>
      <c r="E54" s="29"/>
      <c r="F54" s="29"/>
      <c r="G54" s="29"/>
      <c r="H54" s="29"/>
      <c r="I54" s="29"/>
      <c r="J54" s="29"/>
      <c r="K54" s="29"/>
      <c r="L54" s="29"/>
      <c r="M54" s="32"/>
      <c r="N54" s="32"/>
      <c r="O54" s="486" t="s">
        <v>24</v>
      </c>
      <c r="P54" s="93" t="s">
        <v>79</v>
      </c>
      <c r="Q54" s="44" t="s">
        <v>7</v>
      </c>
      <c r="R54" s="97" t="s">
        <v>90</v>
      </c>
      <c r="S54" s="97" t="s">
        <v>19</v>
      </c>
      <c r="T54" s="97" t="s">
        <v>91</v>
      </c>
      <c r="U54" s="97" t="s">
        <v>92</v>
      </c>
      <c r="V54" s="97" t="s">
        <v>20</v>
      </c>
      <c r="W54" s="97" t="s">
        <v>93</v>
      </c>
      <c r="X54" s="97" t="s">
        <v>94</v>
      </c>
      <c r="Y54" s="97" t="s">
        <v>95</v>
      </c>
      <c r="Z54" s="97" t="s">
        <v>96</v>
      </c>
    </row>
    <row r="55" spans="2:46">
      <c r="B55" s="29"/>
      <c r="C55" s="29"/>
      <c r="D55" s="29"/>
      <c r="E55" s="29"/>
      <c r="F55" s="29"/>
      <c r="G55" s="29"/>
      <c r="H55" s="29"/>
      <c r="I55" s="29"/>
      <c r="J55" s="29"/>
      <c r="K55" s="29"/>
      <c r="L55" s="29"/>
      <c r="M55" s="32"/>
      <c r="N55" s="32"/>
      <c r="O55" s="486"/>
      <c r="P55" s="93" t="s">
        <v>25</v>
      </c>
      <c r="Q55" s="44" t="s">
        <v>11</v>
      </c>
      <c r="R55" s="47">
        <f t="shared" ref="R55:X55" si="0">R42*$AE$42</f>
        <v>0</v>
      </c>
      <c r="S55" s="47">
        <f t="shared" si="0"/>
        <v>0</v>
      </c>
      <c r="T55" s="47">
        <f t="shared" si="0"/>
        <v>0</v>
      </c>
      <c r="U55" s="47">
        <f t="shared" si="0"/>
        <v>0</v>
      </c>
      <c r="V55" s="47">
        <f t="shared" si="0"/>
        <v>0</v>
      </c>
      <c r="W55" s="47">
        <f t="shared" si="0"/>
        <v>0</v>
      </c>
      <c r="X55" s="47">
        <f t="shared" si="0"/>
        <v>0</v>
      </c>
      <c r="Y55" s="47">
        <f>Y42*$AE$42</f>
        <v>0</v>
      </c>
      <c r="Z55" s="47">
        <f>Z31*AE31</f>
        <v>0</v>
      </c>
    </row>
    <row r="56" spans="2:46">
      <c r="B56" s="29"/>
      <c r="C56" s="29"/>
      <c r="D56" s="29"/>
      <c r="E56" s="29"/>
      <c r="F56" s="29"/>
      <c r="G56" s="29"/>
      <c r="H56" s="29"/>
      <c r="I56" s="29"/>
      <c r="J56" s="29"/>
      <c r="K56" s="29"/>
      <c r="L56" s="29"/>
      <c r="M56" s="32"/>
      <c r="N56" s="32"/>
      <c r="O56" s="486"/>
      <c r="P56" s="93" t="s">
        <v>26</v>
      </c>
      <c r="Q56" s="44" t="s">
        <v>27</v>
      </c>
      <c r="R56" s="47">
        <f t="shared" ref="R56:Y56" si="1">R42*$AF$42</f>
        <v>0</v>
      </c>
      <c r="S56" s="47">
        <f t="shared" si="1"/>
        <v>0</v>
      </c>
      <c r="T56" s="47">
        <f t="shared" si="1"/>
        <v>0</v>
      </c>
      <c r="U56" s="47">
        <f t="shared" si="1"/>
        <v>0</v>
      </c>
      <c r="V56" s="47">
        <f t="shared" si="1"/>
        <v>0</v>
      </c>
      <c r="W56" s="47">
        <f t="shared" si="1"/>
        <v>0</v>
      </c>
      <c r="X56" s="47">
        <f t="shared" si="1"/>
        <v>0</v>
      </c>
      <c r="Y56" s="47">
        <f t="shared" si="1"/>
        <v>0</v>
      </c>
      <c r="Z56" s="47">
        <f>Z42*$AF$42</f>
        <v>0</v>
      </c>
    </row>
    <row r="57" spans="2:46">
      <c r="P57" s="54"/>
      <c r="Q57" s="54"/>
      <c r="R57" s="54"/>
      <c r="S57" s="54"/>
      <c r="T57" s="54"/>
      <c r="U57" s="54"/>
      <c r="V57" s="54"/>
      <c r="W57" s="54"/>
      <c r="X57" s="54"/>
      <c r="Y57" s="54"/>
      <c r="Z57" s="54"/>
    </row>
    <row r="58" spans="2:46">
      <c r="O58" s="98"/>
      <c r="P58" s="98"/>
      <c r="Q58" s="98"/>
      <c r="R58" s="92"/>
      <c r="S58" s="92"/>
      <c r="T58" s="92"/>
      <c r="U58" s="92"/>
      <c r="V58" s="92"/>
      <c r="W58" s="92"/>
      <c r="X58" s="92"/>
      <c r="Y58" s="92"/>
      <c r="Z58" s="92"/>
    </row>
  </sheetData>
  <sheetProtection insertColumns="0" insertRows="0" autoFilter="0"/>
  <mergeCells count="102">
    <mergeCell ref="N10:N16"/>
    <mergeCell ref="O10:O16"/>
    <mergeCell ref="D20:D21"/>
    <mergeCell ref="D3:Q3"/>
    <mergeCell ref="D4:Q4"/>
    <mergeCell ref="E5:O5"/>
    <mergeCell ref="P5:Q5"/>
    <mergeCell ref="N7:N9"/>
    <mergeCell ref="O7:O9"/>
    <mergeCell ref="P7:P9"/>
    <mergeCell ref="Q7:Q9"/>
    <mergeCell ref="E20:E21"/>
    <mergeCell ref="J20:J21"/>
    <mergeCell ref="F10:F16"/>
    <mergeCell ref="F17:F19"/>
    <mergeCell ref="K20:K21"/>
    <mergeCell ref="L20:L21"/>
    <mergeCell ref="M20:M21"/>
    <mergeCell ref="K10:K16"/>
    <mergeCell ref="L10:L16"/>
    <mergeCell ref="M10:M16"/>
    <mergeCell ref="B7:B9"/>
    <mergeCell ref="C7:C9"/>
    <mergeCell ref="D7:D9"/>
    <mergeCell ref="E7:J7"/>
    <mergeCell ref="K7:M7"/>
    <mergeCell ref="K8:K9"/>
    <mergeCell ref="L8:L9"/>
    <mergeCell ref="M8:M9"/>
    <mergeCell ref="E8:F8"/>
    <mergeCell ref="J32:J36"/>
    <mergeCell ref="B10:B49"/>
    <mergeCell ref="D10:D16"/>
    <mergeCell ref="E10:E16"/>
    <mergeCell ref="D37:D42"/>
    <mergeCell ref="D17:D19"/>
    <mergeCell ref="E17:E19"/>
    <mergeCell ref="D43:D48"/>
    <mergeCell ref="F22:F26"/>
    <mergeCell ref="F27:F31"/>
    <mergeCell ref="J10:J16"/>
    <mergeCell ref="F20:F21"/>
    <mergeCell ref="J43:J48"/>
    <mergeCell ref="F32:F36"/>
    <mergeCell ref="F37:F42"/>
    <mergeCell ref="E43:E48"/>
    <mergeCell ref="F43:F48"/>
    <mergeCell ref="D22:D26"/>
    <mergeCell ref="E22:E26"/>
    <mergeCell ref="I22:I26"/>
    <mergeCell ref="J22:J26"/>
    <mergeCell ref="C37:C48"/>
    <mergeCell ref="D32:D36"/>
    <mergeCell ref="E32:E36"/>
    <mergeCell ref="M27:M31"/>
    <mergeCell ref="R7:Z8"/>
    <mergeCell ref="R51:Z52"/>
    <mergeCell ref="O54:O56"/>
    <mergeCell ref="O37:O42"/>
    <mergeCell ref="E37:E42"/>
    <mergeCell ref="I37:I42"/>
    <mergeCell ref="J37:J42"/>
    <mergeCell ref="K37:K42"/>
    <mergeCell ref="L37:L42"/>
    <mergeCell ref="M37:M42"/>
    <mergeCell ref="N37:N42"/>
    <mergeCell ref="M51:O52"/>
    <mergeCell ref="P51:P52"/>
    <mergeCell ref="M32:M36"/>
    <mergeCell ref="N32:N36"/>
    <mergeCell ref="O32:O36"/>
    <mergeCell ref="N27:N31"/>
    <mergeCell ref="O27:O31"/>
    <mergeCell ref="N20:N21"/>
    <mergeCell ref="O20:O21"/>
    <mergeCell ref="O22:O26"/>
    <mergeCell ref="O43:O48"/>
    <mergeCell ref="I32:I36"/>
    <mergeCell ref="K43:K48"/>
    <mergeCell ref="L43:L48"/>
    <mergeCell ref="M43:M48"/>
    <mergeCell ref="N43:N48"/>
    <mergeCell ref="O17:O19"/>
    <mergeCell ref="C10:C19"/>
    <mergeCell ref="C20:C21"/>
    <mergeCell ref="C22:C36"/>
    <mergeCell ref="J17:J19"/>
    <mergeCell ref="K17:K19"/>
    <mergeCell ref="L17:L19"/>
    <mergeCell ref="M17:M19"/>
    <mergeCell ref="N17:N19"/>
    <mergeCell ref="K32:K36"/>
    <mergeCell ref="L32:L36"/>
    <mergeCell ref="L22:L26"/>
    <mergeCell ref="M22:M26"/>
    <mergeCell ref="N22:N26"/>
    <mergeCell ref="K27:K31"/>
    <mergeCell ref="L27:L31"/>
    <mergeCell ref="D27:D31"/>
    <mergeCell ref="E27:E31"/>
    <mergeCell ref="J27:J31"/>
    <mergeCell ref="K22:K26"/>
  </mergeCells>
  <phoneticPr fontId="40" type="noConversion"/>
  <conditionalFormatting sqref="R10:Z15">
    <cfRule type="cellIs" dxfId="62" priority="10" operator="equal">
      <formula>3</formula>
    </cfRule>
    <cfRule type="cellIs" dxfId="61" priority="11" operator="equal">
      <formula>2</formula>
    </cfRule>
    <cfRule type="cellIs" dxfId="60" priority="12" operator="equal">
      <formula>1</formula>
    </cfRule>
  </conditionalFormatting>
  <conditionalFormatting sqref="R17:Z21">
    <cfRule type="cellIs" dxfId="59" priority="1" operator="equal">
      <formula>3</formula>
    </cfRule>
    <cfRule type="cellIs" dxfId="58" priority="2" operator="equal">
      <formula>2</formula>
    </cfRule>
    <cfRule type="cellIs" dxfId="57" priority="3" operator="equal">
      <formula>1</formula>
    </cfRule>
  </conditionalFormatting>
  <conditionalFormatting sqref="R28:Z30">
    <cfRule type="cellIs" dxfId="56" priority="4" operator="equal">
      <formula>3</formula>
    </cfRule>
    <cfRule type="cellIs" dxfId="55" priority="5" operator="equal">
      <formula>2</formula>
    </cfRule>
    <cfRule type="cellIs" dxfId="54" priority="6" operator="equal">
      <formula>1</formula>
    </cfRule>
  </conditionalFormatting>
  <pageMargins left="0.70866141732283505" right="0.70866141732283505" top="0.74803149606299202" bottom="0.74803149606299202" header="0.31496062992126" footer="0.31496062992126"/>
  <pageSetup paperSize="8" scale="17"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7B2F1-E224-4205-B7E0-3491B66E15F6}">
  <sheetPr>
    <tabColor rgb="FFB2DD83"/>
  </sheetPr>
  <dimension ref="B3:AI46"/>
  <sheetViews>
    <sheetView showGridLines="0" view="pageBreakPreview" zoomScale="30" zoomScaleNormal="40" zoomScaleSheetLayoutView="30" workbookViewId="0">
      <pane ySplit="9" topLeftCell="A10" activePane="bottomLeft" state="frozen"/>
      <selection pane="bottomLeft" sqref="A1:Z46"/>
    </sheetView>
  </sheetViews>
  <sheetFormatPr baseColWidth="10" defaultColWidth="9.28515625" defaultRowHeight="15"/>
  <cols>
    <col min="1" max="1" width="5.7109375" customWidth="1"/>
    <col min="2" max="3" width="55.5703125" customWidth="1"/>
    <col min="4" max="4" width="94.7109375" customWidth="1"/>
    <col min="5" max="8" width="18.5703125" customWidth="1"/>
    <col min="9" max="9" width="27.5703125" customWidth="1"/>
    <col min="10" max="11" width="21.28515625" customWidth="1"/>
    <col min="12" max="12" width="43" customWidth="1"/>
    <col min="13" max="13" width="36.5703125" customWidth="1"/>
    <col min="14" max="14" width="21.28515625" customWidth="1"/>
    <col min="15" max="15" width="49.28515625" customWidth="1"/>
    <col min="16" max="16" width="72.28515625" customWidth="1"/>
    <col min="17" max="17" width="15.5703125" customWidth="1"/>
    <col min="18" max="21" width="12.5703125" customWidth="1"/>
    <col min="22" max="23" width="13" customWidth="1"/>
    <col min="24" max="26" width="13.42578125" customWidth="1"/>
    <col min="27" max="27" width="3.42578125" customWidth="1"/>
    <col min="28" max="28" width="21.42578125" hidden="1" customWidth="1"/>
    <col min="29" max="29" width="48.28515625" hidden="1" customWidth="1"/>
    <col min="30" max="30" width="28.7109375" hidden="1" customWidth="1"/>
    <col min="31" max="32" width="21.42578125" hidden="1" customWidth="1"/>
    <col min="33" max="35" width="9.28515625" hidden="1" customWidth="1"/>
    <col min="36" max="37" width="0" hidden="1" customWidth="1"/>
  </cols>
  <sheetData>
    <row r="3" spans="2:34" ht="35.25" customHeight="1">
      <c r="D3" s="403" t="s">
        <v>85</v>
      </c>
      <c r="E3" s="404"/>
      <c r="F3" s="404"/>
      <c r="G3" s="404"/>
      <c r="H3" s="404"/>
      <c r="I3" s="404"/>
      <c r="J3" s="404"/>
      <c r="K3" s="404"/>
      <c r="L3" s="404"/>
      <c r="M3" s="404"/>
      <c r="N3" s="404"/>
      <c r="O3" s="404"/>
      <c r="P3" s="404"/>
      <c r="Q3" s="518"/>
    </row>
    <row r="4" spans="2:34" ht="21.75" customHeight="1">
      <c r="D4" s="406" t="s">
        <v>3</v>
      </c>
      <c r="E4" s="407"/>
      <c r="F4" s="407"/>
      <c r="G4" s="407"/>
      <c r="H4" s="407"/>
      <c r="I4" s="407"/>
      <c r="J4" s="407"/>
      <c r="K4" s="407"/>
      <c r="L4" s="407"/>
      <c r="M4" s="407"/>
      <c r="N4" s="407"/>
      <c r="O4" s="407"/>
      <c r="P4" s="407"/>
      <c r="Q4" s="519"/>
    </row>
    <row r="5" spans="2:34" ht="15.75">
      <c r="B5" s="3"/>
      <c r="C5" s="3"/>
      <c r="D5" s="402" t="s">
        <v>760</v>
      </c>
      <c r="E5" s="520"/>
      <c r="F5" s="520"/>
      <c r="G5" s="520"/>
      <c r="H5" s="520"/>
      <c r="I5" s="520"/>
      <c r="J5" s="520"/>
      <c r="K5" s="520"/>
      <c r="L5" s="520"/>
      <c r="M5" s="520"/>
      <c r="N5" s="520"/>
      <c r="O5" s="520"/>
      <c r="P5" s="521"/>
      <c r="Q5" s="522"/>
    </row>
    <row r="6" spans="2:34" ht="15.75" thickBot="1"/>
    <row r="7" spans="2:34" ht="38.1" customHeight="1">
      <c r="B7" s="439" t="s">
        <v>4</v>
      </c>
      <c r="C7" s="439" t="s">
        <v>21</v>
      </c>
      <c r="D7" s="623" t="s">
        <v>5</v>
      </c>
      <c r="E7" s="523" t="s">
        <v>22</v>
      </c>
      <c r="F7" s="524"/>
      <c r="G7" s="524"/>
      <c r="H7" s="524"/>
      <c r="I7" s="524"/>
      <c r="J7" s="525"/>
      <c r="K7" s="527" t="s">
        <v>14</v>
      </c>
      <c r="L7" s="527"/>
      <c r="M7" s="528"/>
      <c r="N7" s="495" t="s">
        <v>16</v>
      </c>
      <c r="O7" s="498" t="s">
        <v>15</v>
      </c>
      <c r="P7" s="439" t="s">
        <v>6</v>
      </c>
      <c r="Q7" s="590" t="s">
        <v>7</v>
      </c>
      <c r="R7" s="568" t="s">
        <v>381</v>
      </c>
      <c r="S7" s="568"/>
      <c r="T7" s="568"/>
      <c r="U7" s="568"/>
      <c r="V7" s="568"/>
      <c r="W7" s="568"/>
      <c r="X7" s="568"/>
      <c r="Y7" s="568"/>
      <c r="Z7" s="568"/>
      <c r="AB7" s="31"/>
    </row>
    <row r="8" spans="2:34" ht="20.25" customHeight="1" thickBot="1">
      <c r="B8" s="440"/>
      <c r="C8" s="440"/>
      <c r="D8" s="624"/>
      <c r="E8" s="529" t="s">
        <v>8</v>
      </c>
      <c r="F8" s="530"/>
      <c r="G8" s="128"/>
      <c r="H8" s="122"/>
      <c r="I8" s="122"/>
      <c r="J8" s="130"/>
      <c r="K8" s="530" t="s">
        <v>100</v>
      </c>
      <c r="L8" s="532" t="s">
        <v>23</v>
      </c>
      <c r="M8" s="534" t="s">
        <v>101</v>
      </c>
      <c r="N8" s="496"/>
      <c r="O8" s="499"/>
      <c r="P8" s="440"/>
      <c r="Q8" s="591"/>
      <c r="R8" s="568"/>
      <c r="S8" s="568"/>
      <c r="T8" s="568"/>
      <c r="U8" s="568"/>
      <c r="V8" s="568"/>
      <c r="W8" s="568"/>
      <c r="X8" s="568"/>
      <c r="Y8" s="568"/>
      <c r="Z8" s="568"/>
      <c r="AB8" s="1" t="s">
        <v>436</v>
      </c>
    </row>
    <row r="9" spans="2:34" s="2" customFormat="1" ht="69" customHeight="1" thickBot="1">
      <c r="B9" s="440"/>
      <c r="C9" s="440"/>
      <c r="D9" s="624"/>
      <c r="E9" s="216" t="s">
        <v>103</v>
      </c>
      <c r="F9" s="129" t="s">
        <v>104</v>
      </c>
      <c r="G9" s="129" t="s">
        <v>9</v>
      </c>
      <c r="H9" s="126" t="s">
        <v>102</v>
      </c>
      <c r="I9" s="126" t="s">
        <v>13</v>
      </c>
      <c r="J9" s="131" t="s">
        <v>10</v>
      </c>
      <c r="K9" s="625"/>
      <c r="L9" s="533"/>
      <c r="M9" s="535"/>
      <c r="N9" s="496"/>
      <c r="O9" s="499"/>
      <c r="P9" s="440"/>
      <c r="Q9" s="458"/>
      <c r="R9" s="352">
        <v>2022</v>
      </c>
      <c r="S9" s="318">
        <v>2023</v>
      </c>
      <c r="T9" s="353">
        <v>2024</v>
      </c>
      <c r="U9" s="353" t="s">
        <v>92</v>
      </c>
      <c r="V9" s="319">
        <v>2026</v>
      </c>
      <c r="W9" s="319">
        <v>2027</v>
      </c>
      <c r="X9" s="354" t="s">
        <v>94</v>
      </c>
      <c r="Y9" s="319">
        <v>2029</v>
      </c>
      <c r="Z9" s="319">
        <v>2030</v>
      </c>
      <c r="AB9" s="249" t="s">
        <v>440</v>
      </c>
      <c r="AC9" s="249" t="s">
        <v>577</v>
      </c>
      <c r="AD9" s="249" t="s">
        <v>437</v>
      </c>
      <c r="AE9" s="249" t="s">
        <v>438</v>
      </c>
      <c r="AF9" s="249" t="s">
        <v>439</v>
      </c>
    </row>
    <row r="10" spans="2:34" ht="15" customHeight="1">
      <c r="B10" s="601" t="s">
        <v>169</v>
      </c>
      <c r="C10" s="610" t="s">
        <v>110</v>
      </c>
      <c r="D10" s="606" t="s">
        <v>215</v>
      </c>
      <c r="E10" s="500" t="s">
        <v>592</v>
      </c>
      <c r="F10" s="500" t="s">
        <v>593</v>
      </c>
      <c r="G10" s="500" t="s">
        <v>411</v>
      </c>
      <c r="H10" s="500" t="s">
        <v>389</v>
      </c>
      <c r="I10" s="500" t="s">
        <v>403</v>
      </c>
      <c r="J10" s="232"/>
      <c r="K10" s="505" t="s">
        <v>504</v>
      </c>
      <c r="L10" s="467" t="s">
        <v>503</v>
      </c>
      <c r="M10" s="467" t="s">
        <v>502</v>
      </c>
      <c r="N10" s="467" t="s">
        <v>451</v>
      </c>
      <c r="O10" s="480" t="s">
        <v>501</v>
      </c>
      <c r="P10" s="9" t="s">
        <v>296</v>
      </c>
      <c r="Q10" s="233" t="s">
        <v>231</v>
      </c>
      <c r="R10" s="293"/>
      <c r="S10" s="257"/>
      <c r="T10" s="257"/>
      <c r="U10" s="257"/>
      <c r="V10" s="267"/>
      <c r="W10" s="267"/>
      <c r="X10" s="267"/>
      <c r="Y10" s="267"/>
      <c r="Z10" s="267"/>
      <c r="AB10" s="244"/>
      <c r="AC10" s="244"/>
      <c r="AD10" s="244"/>
      <c r="AE10" s="244"/>
      <c r="AF10" s="244"/>
    </row>
    <row r="11" spans="2:34" ht="15" customHeight="1">
      <c r="B11" s="602"/>
      <c r="C11" s="611"/>
      <c r="D11" s="607"/>
      <c r="E11" s="501"/>
      <c r="F11" s="501"/>
      <c r="G11" s="501"/>
      <c r="H11" s="501"/>
      <c r="I11" s="501"/>
      <c r="J11" s="232"/>
      <c r="K11" s="599"/>
      <c r="L11" s="468"/>
      <c r="M11" s="468"/>
      <c r="N11" s="468"/>
      <c r="O11" s="481"/>
      <c r="P11" s="36" t="s">
        <v>297</v>
      </c>
      <c r="Q11" s="203" t="s">
        <v>370</v>
      </c>
      <c r="R11" s="355"/>
      <c r="S11" s="268"/>
      <c r="T11" s="268"/>
      <c r="U11" s="268"/>
      <c r="V11" s="268"/>
      <c r="W11" s="268"/>
      <c r="X11" s="268"/>
      <c r="Y11" s="268"/>
      <c r="Z11" s="356"/>
      <c r="AB11" s="251"/>
      <c r="AC11" s="251"/>
      <c r="AD11" s="251"/>
      <c r="AE11" s="251"/>
      <c r="AF11" s="251"/>
    </row>
    <row r="12" spans="2:34" ht="15" customHeight="1">
      <c r="B12" s="602"/>
      <c r="C12" s="611"/>
      <c r="D12" s="607"/>
      <c r="E12" s="501"/>
      <c r="F12" s="501"/>
      <c r="G12" s="501"/>
      <c r="H12" s="501"/>
      <c r="I12" s="501"/>
      <c r="J12" s="232"/>
      <c r="K12" s="599"/>
      <c r="L12" s="468"/>
      <c r="M12" s="468"/>
      <c r="N12" s="468"/>
      <c r="O12" s="481"/>
      <c r="P12" s="36" t="s">
        <v>298</v>
      </c>
      <c r="Q12" s="203" t="s">
        <v>231</v>
      </c>
      <c r="R12" s="355"/>
      <c r="S12" s="268"/>
      <c r="T12" s="268"/>
      <c r="U12" s="268"/>
      <c r="V12" s="268"/>
      <c r="W12" s="268"/>
      <c r="X12" s="268"/>
      <c r="Y12" s="268"/>
      <c r="Z12" s="356"/>
      <c r="AB12" s="251"/>
      <c r="AC12" s="251"/>
      <c r="AD12" s="251"/>
      <c r="AE12" s="251"/>
      <c r="AF12" s="251"/>
    </row>
    <row r="13" spans="2:34" ht="34.15" customHeight="1">
      <c r="B13" s="602"/>
      <c r="C13" s="611"/>
      <c r="D13" s="607"/>
      <c r="E13" s="501"/>
      <c r="F13" s="501"/>
      <c r="G13" s="501"/>
      <c r="H13" s="501"/>
      <c r="I13" s="501"/>
      <c r="J13" s="232"/>
      <c r="K13" s="599"/>
      <c r="L13" s="468"/>
      <c r="M13" s="468"/>
      <c r="N13" s="468"/>
      <c r="O13" s="481"/>
      <c r="P13" s="394" t="s">
        <v>749</v>
      </c>
      <c r="Q13" s="395" t="s">
        <v>748</v>
      </c>
      <c r="R13" s="355"/>
      <c r="S13" s="268"/>
      <c r="T13" s="268"/>
      <c r="U13" s="268"/>
      <c r="V13" s="268"/>
      <c r="W13" s="268"/>
      <c r="X13" s="268"/>
      <c r="Y13" s="268"/>
      <c r="Z13" s="356"/>
      <c r="AB13" s="251"/>
      <c r="AC13" s="251"/>
      <c r="AD13" s="251"/>
      <c r="AE13" s="251"/>
      <c r="AF13" s="251"/>
    </row>
    <row r="14" spans="2:34" ht="15" customHeight="1">
      <c r="B14" s="602"/>
      <c r="C14" s="611"/>
      <c r="D14" s="607"/>
      <c r="E14" s="501"/>
      <c r="F14" s="501"/>
      <c r="G14" s="501"/>
      <c r="H14" s="501"/>
      <c r="I14" s="501"/>
      <c r="J14" s="232"/>
      <c r="K14" s="599"/>
      <c r="L14" s="468"/>
      <c r="M14" s="468"/>
      <c r="N14" s="468"/>
      <c r="O14" s="481"/>
      <c r="P14" s="36" t="s">
        <v>299</v>
      </c>
      <c r="Q14" s="203" t="s">
        <v>370</v>
      </c>
      <c r="R14" s="355"/>
      <c r="S14" s="268"/>
      <c r="T14" s="268"/>
      <c r="U14" s="268"/>
      <c r="V14" s="268"/>
      <c r="W14" s="268"/>
      <c r="X14" s="268"/>
      <c r="Y14" s="268"/>
      <c r="Z14" s="356"/>
      <c r="AB14" s="251"/>
      <c r="AC14" s="251"/>
      <c r="AD14" s="251"/>
      <c r="AE14" s="251"/>
      <c r="AF14" s="251"/>
    </row>
    <row r="15" spans="2:34" ht="15" customHeight="1">
      <c r="B15" s="603"/>
      <c r="C15" s="612"/>
      <c r="D15" s="607"/>
      <c r="E15" s="502"/>
      <c r="F15" s="502"/>
      <c r="G15" s="502"/>
      <c r="H15" s="502"/>
      <c r="I15" s="501"/>
      <c r="J15" s="225"/>
      <c r="K15" s="599"/>
      <c r="L15" s="468"/>
      <c r="M15" s="468"/>
      <c r="N15" s="468"/>
      <c r="O15" s="481"/>
      <c r="P15" s="179" t="s">
        <v>300</v>
      </c>
      <c r="Q15" s="204" t="s">
        <v>370</v>
      </c>
      <c r="R15" s="259"/>
      <c r="S15" s="260"/>
      <c r="T15" s="260"/>
      <c r="U15" s="260"/>
      <c r="V15" s="260"/>
      <c r="W15" s="260"/>
      <c r="X15" s="260"/>
      <c r="Y15" s="260"/>
      <c r="Z15" s="250"/>
      <c r="AB15" s="252" t="s">
        <v>442</v>
      </c>
      <c r="AC15" s="251" t="s">
        <v>580</v>
      </c>
      <c r="AD15" s="254" t="s">
        <v>581</v>
      </c>
      <c r="AE15" s="251">
        <f>('Récapitulatif évolution'!MC12-'Récapitulatif évolution'!MH22)/(0.4*AG15)</f>
        <v>6.0058593749999995E-3</v>
      </c>
      <c r="AF15" s="251">
        <f>('Récapitulatif évolution'!MC29-'Récapitulatif évolution'!MH39)/(0.4*AG15)</f>
        <v>4.1455078125</v>
      </c>
      <c r="AG15">
        <v>512</v>
      </c>
      <c r="AH15" s="307" t="s">
        <v>538</v>
      </c>
    </row>
    <row r="16" spans="2:34" ht="15.75" customHeight="1">
      <c r="B16" s="604"/>
      <c r="C16" s="613" t="s">
        <v>111</v>
      </c>
      <c r="D16" s="459" t="s">
        <v>216</v>
      </c>
      <c r="E16" s="596"/>
      <c r="F16" s="500" t="s">
        <v>409</v>
      </c>
      <c r="G16" s="500" t="s">
        <v>405</v>
      </c>
      <c r="H16" s="500" t="s">
        <v>407</v>
      </c>
      <c r="I16" s="500" t="s">
        <v>406</v>
      </c>
      <c r="J16" s="626"/>
      <c r="K16" s="467" t="s">
        <v>472</v>
      </c>
      <c r="L16" s="467" t="s">
        <v>473</v>
      </c>
      <c r="M16" s="467" t="s">
        <v>506</v>
      </c>
      <c r="N16" s="467" t="s">
        <v>451</v>
      </c>
      <c r="O16" s="467" t="s">
        <v>505</v>
      </c>
      <c r="P16" s="184" t="s">
        <v>304</v>
      </c>
      <c r="Q16" s="205" t="s">
        <v>378</v>
      </c>
      <c r="R16" s="286"/>
      <c r="S16" s="262"/>
      <c r="T16" s="262"/>
      <c r="U16" s="262"/>
      <c r="V16" s="262"/>
      <c r="W16" s="262"/>
      <c r="X16" s="262"/>
      <c r="Y16" s="262"/>
      <c r="Z16" s="291"/>
      <c r="AB16" s="251"/>
      <c r="AC16" s="251"/>
      <c r="AD16" s="251"/>
      <c r="AE16" s="251"/>
      <c r="AF16" s="251"/>
    </row>
    <row r="17" spans="2:32" ht="15.75" customHeight="1">
      <c r="B17" s="604"/>
      <c r="C17" s="608"/>
      <c r="D17" s="460"/>
      <c r="E17" s="597"/>
      <c r="F17" s="501"/>
      <c r="G17" s="501"/>
      <c r="H17" s="501"/>
      <c r="I17" s="501"/>
      <c r="J17" s="627"/>
      <c r="K17" s="468"/>
      <c r="L17" s="468"/>
      <c r="M17" s="468"/>
      <c r="N17" s="468"/>
      <c r="O17" s="468"/>
      <c r="P17" s="188" t="s">
        <v>305</v>
      </c>
      <c r="Q17" s="203" t="s">
        <v>231</v>
      </c>
      <c r="R17" s="357"/>
      <c r="S17" s="269"/>
      <c r="T17" s="269"/>
      <c r="U17" s="269"/>
      <c r="V17" s="269"/>
      <c r="W17" s="269"/>
      <c r="X17" s="269"/>
      <c r="Y17" s="269"/>
      <c r="Z17" s="358"/>
      <c r="AB17" s="251"/>
      <c r="AC17" s="251"/>
      <c r="AD17" s="251"/>
      <c r="AE17" s="251"/>
      <c r="AF17" s="251"/>
    </row>
    <row r="18" spans="2:32" ht="15.75" customHeight="1">
      <c r="B18" s="604"/>
      <c r="C18" s="608"/>
      <c r="D18" s="460"/>
      <c r="E18" s="597"/>
      <c r="F18" s="501"/>
      <c r="G18" s="501"/>
      <c r="H18" s="501"/>
      <c r="I18" s="501"/>
      <c r="J18" s="627"/>
      <c r="K18" s="468"/>
      <c r="L18" s="468"/>
      <c r="M18" s="468"/>
      <c r="N18" s="468"/>
      <c r="O18" s="468"/>
      <c r="P18" s="188" t="s">
        <v>306</v>
      </c>
      <c r="Q18" s="203" t="s">
        <v>370</v>
      </c>
      <c r="R18" s="357"/>
      <c r="S18" s="269"/>
      <c r="T18" s="269"/>
      <c r="U18" s="269"/>
      <c r="V18" s="269"/>
      <c r="W18" s="269"/>
      <c r="X18" s="269"/>
      <c r="Y18" s="269"/>
      <c r="Z18" s="358"/>
      <c r="AB18" s="251"/>
      <c r="AC18" s="251"/>
      <c r="AD18" s="251"/>
      <c r="AE18" s="251"/>
      <c r="AF18" s="251"/>
    </row>
    <row r="19" spans="2:32" ht="15.75" customHeight="1">
      <c r="B19" s="604"/>
      <c r="C19" s="608"/>
      <c r="D19" s="460"/>
      <c r="E19" s="597"/>
      <c r="F19" s="501"/>
      <c r="G19" s="501"/>
      <c r="H19" s="501"/>
      <c r="I19" s="501"/>
      <c r="J19" s="627"/>
      <c r="K19" s="468"/>
      <c r="L19" s="468"/>
      <c r="M19" s="468"/>
      <c r="N19" s="468"/>
      <c r="O19" s="468"/>
      <c r="P19" s="188" t="s">
        <v>307</v>
      </c>
      <c r="Q19" s="203" t="s">
        <v>370</v>
      </c>
      <c r="R19" s="357"/>
      <c r="S19" s="269"/>
      <c r="T19" s="269"/>
      <c r="U19" s="269"/>
      <c r="V19" s="269"/>
      <c r="W19" s="269"/>
      <c r="X19" s="269"/>
      <c r="Y19" s="269"/>
      <c r="Z19" s="358"/>
      <c r="AB19" s="251"/>
      <c r="AC19" s="251"/>
      <c r="AD19" s="251"/>
      <c r="AE19" s="251"/>
      <c r="AF19" s="251"/>
    </row>
    <row r="20" spans="2:32" ht="31.5" customHeight="1">
      <c r="B20" s="604"/>
      <c r="C20" s="608"/>
      <c r="D20" s="460"/>
      <c r="E20" s="597"/>
      <c r="F20" s="501"/>
      <c r="G20" s="501"/>
      <c r="H20" s="501"/>
      <c r="I20" s="501"/>
      <c r="J20" s="627"/>
      <c r="K20" s="468"/>
      <c r="L20" s="468"/>
      <c r="M20" s="468"/>
      <c r="N20" s="468"/>
      <c r="O20" s="468"/>
      <c r="P20" s="201" t="s">
        <v>752</v>
      </c>
      <c r="Q20" s="203" t="s">
        <v>748</v>
      </c>
      <c r="R20" s="388"/>
      <c r="S20" s="389"/>
      <c r="T20" s="389"/>
      <c r="U20" s="389"/>
      <c r="V20" s="389"/>
      <c r="W20" s="389"/>
      <c r="X20" s="389"/>
      <c r="Y20" s="389"/>
      <c r="Z20" s="390"/>
      <c r="AB20" s="251"/>
      <c r="AC20" s="251"/>
      <c r="AD20" s="251"/>
      <c r="AE20" s="251"/>
      <c r="AF20" s="251"/>
    </row>
    <row r="21" spans="2:32" ht="15.75" customHeight="1">
      <c r="B21" s="604"/>
      <c r="C21" s="608"/>
      <c r="D21" s="547"/>
      <c r="E21" s="598"/>
      <c r="F21" s="502"/>
      <c r="G21" s="502"/>
      <c r="H21" s="502"/>
      <c r="I21" s="502"/>
      <c r="J21" s="628"/>
      <c r="K21" s="479"/>
      <c r="L21" s="479"/>
      <c r="M21" s="479"/>
      <c r="N21" s="479"/>
      <c r="O21" s="479"/>
      <c r="P21" s="200" t="s">
        <v>308</v>
      </c>
      <c r="Q21" s="206" t="s">
        <v>376</v>
      </c>
      <c r="R21" s="259"/>
      <c r="S21" s="260"/>
      <c r="T21" s="260"/>
      <c r="U21" s="260"/>
      <c r="V21" s="260"/>
      <c r="W21" s="260"/>
      <c r="X21" s="260"/>
      <c r="Y21" s="260"/>
      <c r="Z21" s="250"/>
      <c r="AB21" s="251"/>
      <c r="AC21" s="251"/>
      <c r="AD21" s="251"/>
      <c r="AE21" s="251"/>
      <c r="AF21" s="251"/>
    </row>
    <row r="22" spans="2:32" ht="21.75" customHeight="1">
      <c r="B22" s="604"/>
      <c r="C22" s="609"/>
      <c r="D22" s="459" t="s">
        <v>217</v>
      </c>
      <c r="E22" s="615"/>
      <c r="F22" s="620"/>
      <c r="G22" s="500" t="s">
        <v>410</v>
      </c>
      <c r="H22" s="500" t="s">
        <v>408</v>
      </c>
      <c r="I22" s="618" t="s">
        <v>404</v>
      </c>
      <c r="J22" s="464" t="s">
        <v>412</v>
      </c>
      <c r="K22" s="505" t="s">
        <v>472</v>
      </c>
      <c r="L22" s="467" t="s">
        <v>473</v>
      </c>
      <c r="M22" s="467" t="s">
        <v>508</v>
      </c>
      <c r="N22" s="467" t="s">
        <v>461</v>
      </c>
      <c r="O22" s="480" t="s">
        <v>507</v>
      </c>
      <c r="P22" s="201" t="s">
        <v>303</v>
      </c>
      <c r="Q22" s="350" t="s">
        <v>231</v>
      </c>
      <c r="R22" s="286"/>
      <c r="S22" s="262"/>
      <c r="T22" s="262"/>
      <c r="U22" s="262"/>
      <c r="V22" s="263"/>
      <c r="W22" s="263"/>
      <c r="X22" s="263"/>
      <c r="Y22" s="263"/>
      <c r="Z22" s="271"/>
      <c r="AB22" s="251"/>
      <c r="AC22" s="251"/>
      <c r="AD22" s="251"/>
      <c r="AE22" s="251"/>
      <c r="AF22" s="251"/>
    </row>
    <row r="23" spans="2:32" ht="19.5" customHeight="1">
      <c r="B23" s="604"/>
      <c r="C23" s="609"/>
      <c r="D23" s="460"/>
      <c r="E23" s="616"/>
      <c r="F23" s="621"/>
      <c r="G23" s="501"/>
      <c r="H23" s="501"/>
      <c r="I23" s="619"/>
      <c r="J23" s="567"/>
      <c r="K23" s="599"/>
      <c r="L23" s="468"/>
      <c r="M23" s="468"/>
      <c r="N23" s="468"/>
      <c r="O23" s="481"/>
      <c r="P23" s="201" t="s">
        <v>301</v>
      </c>
      <c r="Q23" s="350" t="s">
        <v>370</v>
      </c>
      <c r="R23" s="286"/>
      <c r="S23" s="262"/>
      <c r="T23" s="262"/>
      <c r="U23" s="262"/>
      <c r="V23" s="262"/>
      <c r="W23" s="262"/>
      <c r="X23" s="262"/>
      <c r="Y23" s="262"/>
      <c r="Z23" s="271"/>
      <c r="AB23" s="251"/>
      <c r="AC23" s="251"/>
      <c r="AD23" s="251"/>
      <c r="AE23" s="251"/>
      <c r="AF23" s="251"/>
    </row>
    <row r="24" spans="2:32" ht="21.75" customHeight="1">
      <c r="B24" s="604"/>
      <c r="C24" s="609"/>
      <c r="D24" s="460"/>
      <c r="E24" s="616"/>
      <c r="F24" s="621"/>
      <c r="G24" s="501"/>
      <c r="H24" s="501"/>
      <c r="I24" s="619"/>
      <c r="J24" s="567"/>
      <c r="K24" s="599"/>
      <c r="L24" s="468"/>
      <c r="M24" s="468"/>
      <c r="N24" s="468"/>
      <c r="O24" s="481"/>
      <c r="P24" s="36" t="s">
        <v>302</v>
      </c>
      <c r="Q24" s="203" t="s">
        <v>370</v>
      </c>
      <c r="R24" s="286"/>
      <c r="S24" s="262"/>
      <c r="T24" s="262"/>
      <c r="U24" s="262"/>
      <c r="V24" s="262"/>
      <c r="W24" s="262"/>
      <c r="X24" s="262"/>
      <c r="Y24" s="262"/>
      <c r="Z24" s="271"/>
      <c r="AB24" s="251"/>
      <c r="AC24" s="251"/>
      <c r="AD24" s="251"/>
      <c r="AE24" s="251"/>
      <c r="AF24" s="251"/>
    </row>
    <row r="25" spans="2:32" ht="19.5" customHeight="1">
      <c r="B25" s="604"/>
      <c r="C25" s="609"/>
      <c r="D25" s="460"/>
      <c r="E25" s="616"/>
      <c r="F25" s="621"/>
      <c r="G25" s="501"/>
      <c r="H25" s="501"/>
      <c r="I25" s="619"/>
      <c r="J25" s="567"/>
      <c r="K25" s="599"/>
      <c r="L25" s="468"/>
      <c r="M25" s="468"/>
      <c r="N25" s="468"/>
      <c r="O25" s="481"/>
      <c r="P25" s="11" t="s">
        <v>309</v>
      </c>
      <c r="Q25" s="210" t="s">
        <v>378</v>
      </c>
      <c r="R25" s="283"/>
      <c r="S25" s="258"/>
      <c r="T25" s="258"/>
      <c r="U25" s="258"/>
      <c r="V25" s="258"/>
      <c r="W25" s="258"/>
      <c r="X25" s="258"/>
      <c r="Y25" s="258"/>
      <c r="Z25" s="273"/>
      <c r="AB25" s="251"/>
      <c r="AC25" s="251"/>
      <c r="AD25" s="251"/>
      <c r="AE25" s="251"/>
      <c r="AF25" s="251"/>
    </row>
    <row r="26" spans="2:32" ht="19.5" customHeight="1">
      <c r="B26" s="604"/>
      <c r="C26" s="609"/>
      <c r="D26" s="460"/>
      <c r="E26" s="616"/>
      <c r="F26" s="621"/>
      <c r="G26" s="501"/>
      <c r="H26" s="501"/>
      <c r="I26" s="619"/>
      <c r="J26" s="567"/>
      <c r="K26" s="599"/>
      <c r="L26" s="468"/>
      <c r="M26" s="468"/>
      <c r="N26" s="468"/>
      <c r="O26" s="481"/>
      <c r="P26" s="11" t="s">
        <v>750</v>
      </c>
      <c r="Q26" s="387" t="s">
        <v>751</v>
      </c>
      <c r="R26" s="283"/>
      <c r="S26" s="258"/>
      <c r="T26" s="258"/>
      <c r="U26" s="258"/>
      <c r="V26" s="258"/>
      <c r="W26" s="258"/>
      <c r="X26" s="258"/>
      <c r="Y26" s="258"/>
      <c r="Z26" s="273"/>
      <c r="AB26" s="251"/>
      <c r="AC26" s="251"/>
      <c r="AD26" s="251"/>
      <c r="AE26" s="251"/>
      <c r="AF26" s="251"/>
    </row>
    <row r="27" spans="2:32" ht="15" customHeight="1">
      <c r="B27" s="604"/>
      <c r="C27" s="609"/>
      <c r="D27" s="460"/>
      <c r="E27" s="617"/>
      <c r="F27" s="622"/>
      <c r="G27" s="502"/>
      <c r="H27" s="502"/>
      <c r="I27" s="619"/>
      <c r="J27" s="567"/>
      <c r="K27" s="599"/>
      <c r="L27" s="468"/>
      <c r="M27" s="468"/>
      <c r="N27" s="468"/>
      <c r="O27" s="481"/>
      <c r="P27" s="11" t="s">
        <v>310</v>
      </c>
      <c r="Q27" s="210" t="s">
        <v>370</v>
      </c>
      <c r="R27" s="283"/>
      <c r="S27" s="258"/>
      <c r="T27" s="258"/>
      <c r="U27" s="258"/>
      <c r="V27" s="258"/>
      <c r="W27" s="258"/>
      <c r="X27" s="258"/>
      <c r="Y27" s="258"/>
      <c r="Z27" s="273"/>
      <c r="AB27" s="251"/>
      <c r="AC27" s="251"/>
      <c r="AD27" s="251"/>
      <c r="AE27" s="251"/>
      <c r="AF27" s="251"/>
    </row>
    <row r="28" spans="2:32" ht="23.25" customHeight="1">
      <c r="B28" s="604"/>
      <c r="C28" s="613" t="s">
        <v>109</v>
      </c>
      <c r="D28" s="459" t="s">
        <v>218</v>
      </c>
      <c r="E28" s="461" t="s">
        <v>587</v>
      </c>
      <c r="F28" s="500" t="s">
        <v>391</v>
      </c>
      <c r="G28" s="620"/>
      <c r="H28" s="620"/>
      <c r="I28" s="517" t="s">
        <v>416</v>
      </c>
      <c r="J28" s="464" t="s">
        <v>413</v>
      </c>
      <c r="K28" s="505" t="s">
        <v>476</v>
      </c>
      <c r="L28" s="467" t="s">
        <v>511</v>
      </c>
      <c r="M28" s="467" t="s">
        <v>510</v>
      </c>
      <c r="N28" s="467" t="s">
        <v>461</v>
      </c>
      <c r="O28" s="480" t="s">
        <v>509</v>
      </c>
      <c r="P28" s="11" t="s">
        <v>311</v>
      </c>
      <c r="Q28" s="210" t="s">
        <v>231</v>
      </c>
      <c r="R28" s="359"/>
      <c r="S28" s="263"/>
      <c r="T28" s="263"/>
      <c r="U28" s="263"/>
      <c r="V28" s="263"/>
      <c r="W28" s="263"/>
      <c r="X28" s="263"/>
      <c r="Y28" s="263"/>
      <c r="Z28" s="275"/>
      <c r="AB28" s="251"/>
      <c r="AC28" s="251"/>
      <c r="AD28" s="251"/>
      <c r="AE28" s="251"/>
      <c r="AF28" s="251"/>
    </row>
    <row r="29" spans="2:32" ht="26.25" customHeight="1">
      <c r="B29" s="604"/>
      <c r="C29" s="609"/>
      <c r="D29" s="460"/>
      <c r="E29" s="566"/>
      <c r="F29" s="501"/>
      <c r="G29" s="621"/>
      <c r="H29" s="621"/>
      <c r="I29" s="552"/>
      <c r="J29" s="567"/>
      <c r="K29" s="599"/>
      <c r="L29" s="468"/>
      <c r="M29" s="468"/>
      <c r="N29" s="468"/>
      <c r="O29" s="481"/>
      <c r="P29" s="11" t="s">
        <v>312</v>
      </c>
      <c r="Q29" s="210" t="s">
        <v>231</v>
      </c>
      <c r="R29" s="286"/>
      <c r="S29" s="262"/>
      <c r="T29" s="262"/>
      <c r="U29" s="262"/>
      <c r="V29" s="262"/>
      <c r="W29" s="262"/>
      <c r="X29" s="262"/>
      <c r="Y29" s="262"/>
      <c r="Z29" s="271"/>
      <c r="AB29" s="251"/>
      <c r="AC29" s="251"/>
      <c r="AD29" s="251"/>
      <c r="AE29" s="251"/>
      <c r="AF29" s="251"/>
    </row>
    <row r="30" spans="2:32" ht="19.5" customHeight="1">
      <c r="B30" s="604"/>
      <c r="C30" s="609"/>
      <c r="D30" s="460"/>
      <c r="E30" s="566"/>
      <c r="F30" s="501"/>
      <c r="G30" s="621"/>
      <c r="H30" s="621"/>
      <c r="I30" s="552"/>
      <c r="J30" s="567"/>
      <c r="K30" s="599"/>
      <c r="L30" s="468"/>
      <c r="M30" s="468"/>
      <c r="N30" s="468"/>
      <c r="O30" s="481"/>
      <c r="P30" s="371" t="s">
        <v>553</v>
      </c>
      <c r="Q30" s="351" t="s">
        <v>554</v>
      </c>
      <c r="R30" s="286"/>
      <c r="S30" s="262"/>
      <c r="T30" s="262"/>
      <c r="U30" s="262"/>
      <c r="V30" s="262"/>
      <c r="W30" s="262"/>
      <c r="X30" s="262"/>
      <c r="Y30" s="262"/>
      <c r="Z30" s="271"/>
      <c r="AB30" s="251"/>
      <c r="AC30" s="251"/>
      <c r="AD30" s="251"/>
      <c r="AE30" s="251"/>
      <c r="AF30" s="251"/>
    </row>
    <row r="31" spans="2:32" ht="23.25" customHeight="1">
      <c r="B31" s="604"/>
      <c r="C31" s="614"/>
      <c r="D31" s="460"/>
      <c r="E31" s="576"/>
      <c r="F31" s="502"/>
      <c r="G31" s="622"/>
      <c r="H31" s="622"/>
      <c r="I31" s="552"/>
      <c r="J31" s="567"/>
      <c r="K31" s="599"/>
      <c r="L31" s="468"/>
      <c r="M31" s="468"/>
      <c r="N31" s="468"/>
      <c r="O31" s="481"/>
      <c r="P31" s="207" t="s">
        <v>313</v>
      </c>
      <c r="Q31" s="236" t="s">
        <v>231</v>
      </c>
      <c r="R31" s="360"/>
      <c r="S31" s="265"/>
      <c r="T31" s="265"/>
      <c r="U31" s="265"/>
      <c r="V31" s="265"/>
      <c r="W31" s="265"/>
      <c r="X31" s="265"/>
      <c r="Y31" s="265"/>
      <c r="Z31" s="276"/>
      <c r="AB31" s="251"/>
      <c r="AC31" s="251"/>
      <c r="AD31" s="251"/>
      <c r="AE31" s="251"/>
      <c r="AF31" s="251"/>
    </row>
    <row r="32" spans="2:32" ht="15" customHeight="1">
      <c r="B32" s="604"/>
      <c r="C32" s="608" t="s">
        <v>186</v>
      </c>
      <c r="D32" s="459" t="s">
        <v>219</v>
      </c>
      <c r="E32" s="596"/>
      <c r="F32" s="500" t="s">
        <v>414</v>
      </c>
      <c r="G32" s="620"/>
      <c r="H32" s="620"/>
      <c r="I32" s="500" t="s">
        <v>415</v>
      </c>
      <c r="J32" s="464" t="s">
        <v>412</v>
      </c>
      <c r="K32" s="505" t="s">
        <v>472</v>
      </c>
      <c r="L32" s="467" t="s">
        <v>473</v>
      </c>
      <c r="M32" s="467" t="s">
        <v>513</v>
      </c>
      <c r="N32" s="467" t="s">
        <v>451</v>
      </c>
      <c r="O32" s="480" t="s">
        <v>512</v>
      </c>
      <c r="P32" s="11" t="s">
        <v>379</v>
      </c>
      <c r="Q32" s="210" t="s">
        <v>370</v>
      </c>
      <c r="R32" s="359"/>
      <c r="S32" s="263"/>
      <c r="T32" s="263"/>
      <c r="U32" s="263"/>
      <c r="V32" s="263"/>
      <c r="W32" s="263"/>
      <c r="X32" s="263"/>
      <c r="Y32" s="263"/>
      <c r="Z32" s="275"/>
      <c r="AB32" s="251"/>
      <c r="AC32" s="251"/>
      <c r="AD32" s="251"/>
      <c r="AE32" s="251"/>
      <c r="AF32" s="251"/>
    </row>
    <row r="33" spans="2:32" ht="15" customHeight="1">
      <c r="B33" s="604"/>
      <c r="C33" s="609"/>
      <c r="D33" s="460"/>
      <c r="E33" s="597"/>
      <c r="F33" s="501"/>
      <c r="G33" s="621"/>
      <c r="H33" s="621"/>
      <c r="I33" s="501"/>
      <c r="J33" s="567"/>
      <c r="K33" s="599"/>
      <c r="L33" s="468"/>
      <c r="M33" s="468"/>
      <c r="N33" s="468"/>
      <c r="O33" s="481"/>
      <c r="P33" s="11" t="s">
        <v>314</v>
      </c>
      <c r="Q33" s="210" t="s">
        <v>231</v>
      </c>
      <c r="R33" s="283"/>
      <c r="S33" s="258"/>
      <c r="T33" s="258"/>
      <c r="U33" s="258"/>
      <c r="V33" s="258"/>
      <c r="W33" s="258"/>
      <c r="X33" s="258"/>
      <c r="Y33" s="258"/>
      <c r="Z33" s="273"/>
      <c r="AB33" s="251"/>
      <c r="AC33" s="251"/>
      <c r="AD33" s="251"/>
      <c r="AE33" s="251"/>
      <c r="AF33" s="251"/>
    </row>
    <row r="34" spans="2:32" ht="15" customHeight="1">
      <c r="B34" s="604"/>
      <c r="C34" s="609"/>
      <c r="D34" s="460"/>
      <c r="E34" s="597"/>
      <c r="F34" s="501"/>
      <c r="G34" s="621"/>
      <c r="H34" s="621"/>
      <c r="I34" s="501"/>
      <c r="J34" s="567"/>
      <c r="K34" s="599"/>
      <c r="L34" s="468"/>
      <c r="M34" s="468"/>
      <c r="N34" s="468"/>
      <c r="O34" s="481"/>
      <c r="P34" s="11" t="s">
        <v>315</v>
      </c>
      <c r="Q34" s="210" t="s">
        <v>231</v>
      </c>
      <c r="R34" s="283"/>
      <c r="S34" s="258"/>
      <c r="T34" s="258"/>
      <c r="U34" s="258"/>
      <c r="V34" s="258"/>
      <c r="W34" s="258"/>
      <c r="X34" s="258"/>
      <c r="Y34" s="258"/>
      <c r="Z34" s="273"/>
      <c r="AB34" s="251"/>
      <c r="AC34" s="251"/>
      <c r="AD34" s="251"/>
      <c r="AE34" s="251"/>
      <c r="AF34" s="251"/>
    </row>
    <row r="35" spans="2:32" ht="15" customHeight="1">
      <c r="B35" s="604"/>
      <c r="C35" s="609"/>
      <c r="D35" s="460"/>
      <c r="E35" s="597"/>
      <c r="F35" s="501"/>
      <c r="G35" s="621"/>
      <c r="H35" s="621"/>
      <c r="I35" s="501"/>
      <c r="J35" s="567"/>
      <c r="K35" s="599"/>
      <c r="L35" s="468"/>
      <c r="M35" s="468"/>
      <c r="N35" s="468"/>
      <c r="O35" s="481"/>
      <c r="P35" s="11" t="s">
        <v>316</v>
      </c>
      <c r="Q35" s="210" t="s">
        <v>231</v>
      </c>
      <c r="R35" s="283"/>
      <c r="S35" s="258"/>
      <c r="T35" s="258"/>
      <c r="U35" s="258"/>
      <c r="V35" s="258"/>
      <c r="W35" s="258"/>
      <c r="X35" s="258"/>
      <c r="Y35" s="258"/>
      <c r="Z35" s="273"/>
      <c r="AB35" s="251"/>
      <c r="AC35" s="251"/>
      <c r="AD35" s="251"/>
      <c r="AE35" s="251"/>
      <c r="AF35" s="251"/>
    </row>
    <row r="36" spans="2:32" ht="15" customHeight="1">
      <c r="B36" s="604"/>
      <c r="C36" s="609"/>
      <c r="D36" s="460"/>
      <c r="E36" s="597"/>
      <c r="F36" s="501"/>
      <c r="G36" s="621"/>
      <c r="H36" s="621"/>
      <c r="I36" s="501"/>
      <c r="J36" s="567"/>
      <c r="K36" s="599"/>
      <c r="L36" s="468"/>
      <c r="M36" s="468"/>
      <c r="N36" s="468"/>
      <c r="O36" s="481"/>
      <c r="P36" s="36" t="s">
        <v>317</v>
      </c>
      <c r="Q36" s="203" t="s">
        <v>231</v>
      </c>
      <c r="R36" s="285"/>
      <c r="S36" s="278"/>
      <c r="T36" s="278"/>
      <c r="U36" s="278"/>
      <c r="V36" s="278"/>
      <c r="W36" s="278"/>
      <c r="X36" s="278"/>
      <c r="Y36" s="278"/>
      <c r="Z36" s="279"/>
      <c r="AB36" s="251"/>
      <c r="AC36" s="251"/>
      <c r="AD36" s="251"/>
      <c r="AE36" s="251"/>
      <c r="AF36" s="251"/>
    </row>
    <row r="37" spans="2:32" ht="15" customHeight="1">
      <c r="B37" s="604"/>
      <c r="C37" s="609"/>
      <c r="D37" s="547"/>
      <c r="E37" s="598"/>
      <c r="F37" s="502"/>
      <c r="G37" s="622"/>
      <c r="H37" s="622"/>
      <c r="I37" s="502"/>
      <c r="J37" s="580"/>
      <c r="K37" s="600"/>
      <c r="L37" s="479"/>
      <c r="M37" s="479"/>
      <c r="N37" s="479"/>
      <c r="O37" s="575"/>
      <c r="P37" s="13" t="s">
        <v>318</v>
      </c>
      <c r="Q37" s="234" t="s">
        <v>376</v>
      </c>
      <c r="R37" s="361"/>
      <c r="S37" s="112"/>
      <c r="T37" s="112"/>
      <c r="U37" s="112"/>
      <c r="V37" s="112"/>
      <c r="W37" s="112"/>
      <c r="X37" s="112"/>
      <c r="Y37" s="209"/>
      <c r="Z37" s="362"/>
      <c r="AB37" s="251"/>
      <c r="AC37" s="251"/>
      <c r="AD37" s="251"/>
      <c r="AE37" s="251"/>
      <c r="AF37" s="251"/>
    </row>
    <row r="38" spans="2:32" ht="15" customHeight="1" thickBot="1">
      <c r="B38" s="605"/>
      <c r="C38" s="39"/>
      <c r="D38" s="14"/>
      <c r="E38" s="228"/>
      <c r="F38" s="229"/>
      <c r="G38" s="229"/>
      <c r="H38" s="229"/>
      <c r="I38" s="230"/>
      <c r="J38" s="231"/>
      <c r="K38" s="20"/>
      <c r="L38" s="20"/>
      <c r="M38" s="18"/>
      <c r="N38" s="18"/>
      <c r="O38" s="19"/>
      <c r="P38" s="19"/>
      <c r="Q38" s="19"/>
      <c r="R38" s="19"/>
      <c r="S38" s="19"/>
      <c r="T38" s="19"/>
      <c r="U38" s="19"/>
      <c r="V38" s="19"/>
      <c r="W38" s="19"/>
      <c r="X38" s="19"/>
      <c r="Y38" s="19"/>
      <c r="Z38" s="21"/>
      <c r="AB38" s="251"/>
      <c r="AC38" s="251"/>
      <c r="AD38" s="251"/>
      <c r="AE38" s="251"/>
      <c r="AF38" s="251"/>
    </row>
    <row r="39" spans="2:32">
      <c r="B39" s="22"/>
      <c r="C39" s="22"/>
      <c r="D39" s="23"/>
      <c r="E39" s="24"/>
      <c r="F39" s="24"/>
      <c r="G39" s="24"/>
      <c r="H39" s="24"/>
      <c r="I39" s="25"/>
      <c r="J39" s="26"/>
      <c r="K39" s="26"/>
      <c r="L39" s="26"/>
      <c r="M39" s="26"/>
      <c r="N39" s="26"/>
      <c r="O39" s="27"/>
      <c r="P39" s="28"/>
      <c r="Q39" s="7"/>
    </row>
    <row r="40" spans="2:32" ht="15" customHeight="1">
      <c r="B40" s="29"/>
      <c r="C40" s="29"/>
      <c r="D40" s="29"/>
      <c r="E40" s="29"/>
      <c r="F40" s="29"/>
      <c r="G40" s="29"/>
      <c r="H40" s="29"/>
      <c r="I40" s="29"/>
      <c r="J40" s="30"/>
      <c r="K40" s="30"/>
      <c r="L40" s="30"/>
      <c r="M40" s="488" t="s">
        <v>12</v>
      </c>
      <c r="N40" s="488"/>
      <c r="O40" s="489"/>
      <c r="P40" s="477" t="s">
        <v>18</v>
      </c>
      <c r="R40" s="469"/>
      <c r="S40" s="469"/>
      <c r="T40" s="469"/>
      <c r="U40" s="469"/>
      <c r="V40" s="469"/>
      <c r="W40" s="469"/>
      <c r="X40" s="469"/>
      <c r="Y40" s="469"/>
      <c r="Z40" s="470"/>
    </row>
    <row r="41" spans="2:32">
      <c r="B41" s="29"/>
      <c r="C41" s="29"/>
      <c r="D41" s="29"/>
      <c r="E41" s="29"/>
      <c r="F41" s="29"/>
      <c r="G41" s="29"/>
      <c r="H41" s="29"/>
      <c r="I41" s="29"/>
      <c r="J41" s="29"/>
      <c r="K41" s="29"/>
      <c r="L41" s="29"/>
      <c r="M41" s="488"/>
      <c r="N41" s="488"/>
      <c r="O41" s="489"/>
      <c r="P41" s="478"/>
      <c r="R41" s="471"/>
      <c r="S41" s="471"/>
      <c r="T41" s="471"/>
      <c r="U41" s="471"/>
      <c r="V41" s="471"/>
      <c r="W41" s="471"/>
      <c r="X41" s="471"/>
      <c r="Y41" s="471"/>
      <c r="Z41" s="472"/>
    </row>
    <row r="42" spans="2:32">
      <c r="B42" s="29"/>
      <c r="C42" s="29"/>
      <c r="D42" s="29"/>
      <c r="E42" s="29"/>
      <c r="F42" s="29"/>
      <c r="G42" s="29"/>
      <c r="H42" s="29"/>
      <c r="I42" s="29"/>
      <c r="J42" s="29"/>
      <c r="K42" s="29"/>
      <c r="L42" s="29"/>
      <c r="M42" s="32"/>
      <c r="N42" s="32"/>
      <c r="O42" s="32"/>
      <c r="P42" s="32"/>
      <c r="R42" s="43"/>
      <c r="S42" s="43"/>
      <c r="T42" s="43"/>
      <c r="U42" s="43"/>
      <c r="V42" s="43"/>
      <c r="W42" s="43"/>
      <c r="X42" s="43"/>
      <c r="Y42" s="43"/>
      <c r="Z42" s="43"/>
    </row>
    <row r="43" spans="2:32">
      <c r="B43" s="29"/>
      <c r="C43" s="29"/>
      <c r="D43" s="29"/>
      <c r="E43" s="29"/>
      <c r="F43" s="29"/>
      <c r="G43" s="29"/>
      <c r="H43" s="29"/>
      <c r="I43" s="29"/>
      <c r="J43" s="29"/>
      <c r="K43" s="29"/>
      <c r="L43" s="29"/>
      <c r="M43" s="32"/>
      <c r="N43" s="32"/>
      <c r="O43" s="593" t="s">
        <v>24</v>
      </c>
      <c r="P43" s="94" t="s">
        <v>80</v>
      </c>
      <c r="Q43" s="89" t="s">
        <v>7</v>
      </c>
      <c r="R43" s="97" t="s">
        <v>90</v>
      </c>
      <c r="S43" s="97" t="s">
        <v>19</v>
      </c>
      <c r="T43" s="97" t="s">
        <v>91</v>
      </c>
      <c r="U43" s="97" t="s">
        <v>92</v>
      </c>
      <c r="V43" s="97" t="s">
        <v>20</v>
      </c>
      <c r="W43" s="97" t="s">
        <v>93</v>
      </c>
      <c r="X43" s="97" t="s">
        <v>94</v>
      </c>
      <c r="Y43" s="97" t="s">
        <v>95</v>
      </c>
      <c r="Z43" s="97" t="s">
        <v>96</v>
      </c>
    </row>
    <row r="44" spans="2:32">
      <c r="B44" s="29"/>
      <c r="C44" s="29"/>
      <c r="D44" s="29"/>
      <c r="E44" s="29"/>
      <c r="F44" s="29"/>
      <c r="G44" s="29"/>
      <c r="H44" s="29"/>
      <c r="I44" s="29"/>
      <c r="J44" s="29"/>
      <c r="K44" s="29"/>
      <c r="L44" s="29"/>
      <c r="M44" s="32"/>
      <c r="N44" s="32"/>
      <c r="O44" s="594"/>
      <c r="P44" s="93" t="s">
        <v>25</v>
      </c>
      <c r="Q44" s="44" t="s">
        <v>11</v>
      </c>
      <c r="R44" s="47">
        <f>R15*$AE$15</f>
        <v>0</v>
      </c>
      <c r="S44" s="47">
        <f t="shared" ref="S44:Z44" si="0">S15*$AE$15</f>
        <v>0</v>
      </c>
      <c r="T44" s="47">
        <f t="shared" si="0"/>
        <v>0</v>
      </c>
      <c r="U44" s="47">
        <f t="shared" si="0"/>
        <v>0</v>
      </c>
      <c r="V44" s="47">
        <f t="shared" si="0"/>
        <v>0</v>
      </c>
      <c r="W44" s="47">
        <f t="shared" si="0"/>
        <v>0</v>
      </c>
      <c r="X44" s="47">
        <f t="shared" si="0"/>
        <v>0</v>
      </c>
      <c r="Y44" s="47">
        <f t="shared" si="0"/>
        <v>0</v>
      </c>
      <c r="Z44" s="47">
        <f t="shared" si="0"/>
        <v>0</v>
      </c>
    </row>
    <row r="45" spans="2:32">
      <c r="B45" s="29"/>
      <c r="C45" s="29"/>
      <c r="D45" s="29"/>
      <c r="E45" s="29"/>
      <c r="F45" s="29"/>
      <c r="G45" s="29"/>
      <c r="H45" s="29"/>
      <c r="I45" s="29"/>
      <c r="J45" s="29"/>
      <c r="K45" s="29"/>
      <c r="L45" s="29"/>
      <c r="M45" s="32"/>
      <c r="N45" s="32"/>
      <c r="O45" s="594"/>
      <c r="P45" s="95" t="s">
        <v>26</v>
      </c>
      <c r="Q45" s="88" t="s">
        <v>27</v>
      </c>
      <c r="R45" s="96">
        <f>R15*$AF$15</f>
        <v>0</v>
      </c>
      <c r="S45" s="96">
        <f t="shared" ref="S45:Z45" si="1">S15*$AF$15</f>
        <v>0</v>
      </c>
      <c r="T45" s="96">
        <f t="shared" si="1"/>
        <v>0</v>
      </c>
      <c r="U45" s="96">
        <f t="shared" si="1"/>
        <v>0</v>
      </c>
      <c r="V45" s="96">
        <f t="shared" si="1"/>
        <v>0</v>
      </c>
      <c r="W45" s="96">
        <f t="shared" si="1"/>
        <v>0</v>
      </c>
      <c r="X45" s="96">
        <f t="shared" si="1"/>
        <v>0</v>
      </c>
      <c r="Y45" s="96">
        <f t="shared" si="1"/>
        <v>0</v>
      </c>
      <c r="Z45" s="96">
        <f t="shared" si="1"/>
        <v>0</v>
      </c>
    </row>
    <row r="46" spans="2:32">
      <c r="B46" s="29"/>
      <c r="C46" s="29"/>
      <c r="D46" s="29"/>
      <c r="E46" s="29"/>
      <c r="F46" s="29"/>
      <c r="G46" s="29"/>
      <c r="H46" s="29"/>
      <c r="I46" s="29"/>
      <c r="J46" s="29"/>
      <c r="K46" s="29"/>
      <c r="L46" s="29"/>
      <c r="M46" s="32"/>
      <c r="N46" s="32"/>
      <c r="O46" s="595"/>
      <c r="P46" s="95" t="s">
        <v>552</v>
      </c>
      <c r="Q46" s="88" t="s">
        <v>554</v>
      </c>
      <c r="R46" s="96">
        <f>R30</f>
        <v>0</v>
      </c>
      <c r="S46" s="96">
        <f t="shared" ref="S46:Z46" si="2">S30</f>
        <v>0</v>
      </c>
      <c r="T46" s="96">
        <f t="shared" si="2"/>
        <v>0</v>
      </c>
      <c r="U46" s="96">
        <f t="shared" si="2"/>
        <v>0</v>
      </c>
      <c r="V46" s="96">
        <f t="shared" si="2"/>
        <v>0</v>
      </c>
      <c r="W46" s="96">
        <f t="shared" si="2"/>
        <v>0</v>
      </c>
      <c r="X46" s="96">
        <f t="shared" si="2"/>
        <v>0</v>
      </c>
      <c r="Y46" s="96">
        <f t="shared" si="2"/>
        <v>0</v>
      </c>
      <c r="Z46" s="96">
        <f t="shared" si="2"/>
        <v>0</v>
      </c>
    </row>
  </sheetData>
  <sheetProtection insertColumns="0" insertRows="0" autoFilter="0"/>
  <mergeCells count="86">
    <mergeCell ref="F32:F37"/>
    <mergeCell ref="J16:J21"/>
    <mergeCell ref="H32:H37"/>
    <mergeCell ref="G32:G37"/>
    <mergeCell ref="G28:G31"/>
    <mergeCell ref="H28:H31"/>
    <mergeCell ref="I32:I37"/>
    <mergeCell ref="I16:I21"/>
    <mergeCell ref="J22:J27"/>
    <mergeCell ref="M10:M15"/>
    <mergeCell ref="N10:N15"/>
    <mergeCell ref="O10:O15"/>
    <mergeCell ref="D3:Q3"/>
    <mergeCell ref="D4:Q4"/>
    <mergeCell ref="E5:O5"/>
    <mergeCell ref="P5:Q5"/>
    <mergeCell ref="N7:N9"/>
    <mergeCell ref="O7:O9"/>
    <mergeCell ref="P7:P9"/>
    <mergeCell ref="Q7:Q9"/>
    <mergeCell ref="M8:M9"/>
    <mergeCell ref="L10:L15"/>
    <mergeCell ref="K10:K15"/>
    <mergeCell ref="R7:Z8"/>
    <mergeCell ref="B7:B9"/>
    <mergeCell ref="C7:C9"/>
    <mergeCell ref="D7:D9"/>
    <mergeCell ref="E7:J7"/>
    <mergeCell ref="K7:M7"/>
    <mergeCell ref="K8:K9"/>
    <mergeCell ref="L8:L9"/>
    <mergeCell ref="E8:F8"/>
    <mergeCell ref="K22:K27"/>
    <mergeCell ref="E10:E15"/>
    <mergeCell ref="F10:F15"/>
    <mergeCell ref="G10:G15"/>
    <mergeCell ref="H10:H15"/>
    <mergeCell ref="F22:F27"/>
    <mergeCell ref="G22:G27"/>
    <mergeCell ref="H22:H27"/>
    <mergeCell ref="L22:L27"/>
    <mergeCell ref="M28:M31"/>
    <mergeCell ref="M22:M27"/>
    <mergeCell ref="N22:N27"/>
    <mergeCell ref="O22:O27"/>
    <mergeCell ref="B10:B38"/>
    <mergeCell ref="D10:D15"/>
    <mergeCell ref="I10:I15"/>
    <mergeCell ref="C32:C37"/>
    <mergeCell ref="C10:C15"/>
    <mergeCell ref="D32:D37"/>
    <mergeCell ref="C28:C31"/>
    <mergeCell ref="D28:D31"/>
    <mergeCell ref="E28:E31"/>
    <mergeCell ref="I28:I31"/>
    <mergeCell ref="F28:F31"/>
    <mergeCell ref="E32:E37"/>
    <mergeCell ref="C16:C27"/>
    <mergeCell ref="D22:D27"/>
    <mergeCell ref="E22:E27"/>
    <mergeCell ref="I22:I27"/>
    <mergeCell ref="R40:Z41"/>
    <mergeCell ref="L32:L37"/>
    <mergeCell ref="K32:K37"/>
    <mergeCell ref="J32:J37"/>
    <mergeCell ref="M40:O41"/>
    <mergeCell ref="P40:P41"/>
    <mergeCell ref="M32:M37"/>
    <mergeCell ref="N32:N37"/>
    <mergeCell ref="O32:O37"/>
    <mergeCell ref="O43:O46"/>
    <mergeCell ref="D16:D21"/>
    <mergeCell ref="E16:E21"/>
    <mergeCell ref="F16:F21"/>
    <mergeCell ref="G16:G21"/>
    <mergeCell ref="H16:H21"/>
    <mergeCell ref="K16:K21"/>
    <mergeCell ref="L16:L21"/>
    <mergeCell ref="O16:O21"/>
    <mergeCell ref="N16:N21"/>
    <mergeCell ref="M16:M21"/>
    <mergeCell ref="N28:N31"/>
    <mergeCell ref="O28:O31"/>
    <mergeCell ref="J28:J31"/>
    <mergeCell ref="K28:K31"/>
    <mergeCell ref="L28:L31"/>
  </mergeCells>
  <conditionalFormatting sqref="R10:Z14">
    <cfRule type="cellIs" dxfId="53" priority="10" operator="equal">
      <formula>3</formula>
    </cfRule>
    <cfRule type="cellIs" dxfId="52" priority="11" operator="equal">
      <formula>2</formula>
    </cfRule>
    <cfRule type="cellIs" dxfId="51" priority="12" operator="equal">
      <formula>1</formula>
    </cfRule>
  </conditionalFormatting>
  <conditionalFormatting sqref="R25:Z27">
    <cfRule type="cellIs" dxfId="50" priority="4" operator="equal">
      <formula>3</formula>
    </cfRule>
    <cfRule type="cellIs" dxfId="49" priority="5" operator="equal">
      <formula>2</formula>
    </cfRule>
    <cfRule type="cellIs" dxfId="48" priority="6" operator="equal">
      <formula>1</formula>
    </cfRule>
  </conditionalFormatting>
  <conditionalFormatting sqref="R33:Z36">
    <cfRule type="cellIs" dxfId="47" priority="1" operator="equal">
      <formula>3</formula>
    </cfRule>
    <cfRule type="cellIs" dxfId="46" priority="2" operator="equal">
      <formula>2</formula>
    </cfRule>
    <cfRule type="cellIs" dxfId="45" priority="3" operator="equal">
      <formula>1</formula>
    </cfRule>
  </conditionalFormatting>
  <pageMargins left="0.70866141732283505" right="0.70866141732283505" top="0.74803149606299202" bottom="0.74803149606299202" header="0.31496062992126" footer="0.31496062992126"/>
  <pageSetup paperSize="8" scale="17"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60BBC-0E38-42DC-B5A6-F3B6EA5E5D05}">
  <sheetPr>
    <tabColor rgb="FFDAC1ED"/>
  </sheetPr>
  <dimension ref="B3:AJ50"/>
  <sheetViews>
    <sheetView showGridLines="0" view="pageBreakPreview" zoomScale="30" zoomScaleNormal="40" zoomScaleSheetLayoutView="30" workbookViewId="0">
      <pane ySplit="9" topLeftCell="A10" activePane="bottomLeft" state="frozen"/>
      <selection pane="bottomLeft" sqref="A1:Z50"/>
    </sheetView>
  </sheetViews>
  <sheetFormatPr baseColWidth="10" defaultColWidth="9.28515625" defaultRowHeight="15"/>
  <cols>
    <col min="1" max="1" width="5.7109375" customWidth="1"/>
    <col min="2" max="3" width="55.5703125" customWidth="1"/>
    <col min="4" max="4" width="94.7109375" customWidth="1"/>
    <col min="5" max="5" width="20.5703125" customWidth="1"/>
    <col min="6" max="6" width="22" customWidth="1"/>
    <col min="7" max="7" width="19.28515625" customWidth="1"/>
    <col min="8" max="8" width="18.5703125" customWidth="1"/>
    <col min="9" max="9" width="26.7109375" customWidth="1"/>
    <col min="10" max="10" width="20.28515625" customWidth="1"/>
    <col min="11" max="12" width="21.28515625" customWidth="1"/>
    <col min="13" max="13" width="36.5703125" customWidth="1"/>
    <col min="14" max="14" width="23" customWidth="1"/>
    <col min="15" max="15" width="25.7109375" customWidth="1"/>
    <col min="16" max="16" width="72.28515625" customWidth="1"/>
    <col min="17" max="17" width="15.5703125" customWidth="1"/>
    <col min="18" max="21" width="12.5703125" customWidth="1"/>
    <col min="22" max="23" width="13" customWidth="1"/>
    <col min="24" max="26" width="13.42578125" customWidth="1"/>
    <col min="27" max="27" width="3.42578125" customWidth="1"/>
    <col min="28" max="28" width="28.5703125" hidden="1" customWidth="1"/>
    <col min="29" max="29" width="59.28515625" hidden="1" customWidth="1"/>
    <col min="30" max="30" width="62.7109375" hidden="1" customWidth="1"/>
    <col min="31" max="32" width="19.28515625" hidden="1" customWidth="1"/>
    <col min="33" max="36" width="9.28515625" hidden="1" customWidth="1"/>
    <col min="37" max="43" width="0" hidden="1" customWidth="1"/>
  </cols>
  <sheetData>
    <row r="3" spans="2:34" ht="35.25" customHeight="1">
      <c r="D3" s="403" t="s">
        <v>85</v>
      </c>
      <c r="E3" s="404"/>
      <c r="F3" s="404"/>
      <c r="G3" s="404"/>
      <c r="H3" s="404"/>
      <c r="I3" s="404"/>
      <c r="J3" s="404"/>
      <c r="K3" s="404"/>
      <c r="L3" s="404"/>
      <c r="M3" s="404"/>
      <c r="N3" s="404"/>
      <c r="O3" s="404"/>
      <c r="P3" s="404"/>
      <c r="Q3" s="518"/>
    </row>
    <row r="4" spans="2:34" ht="21.75" customHeight="1">
      <c r="D4" s="406" t="s">
        <v>3</v>
      </c>
      <c r="E4" s="407"/>
      <c r="F4" s="407"/>
      <c r="G4" s="407"/>
      <c r="H4" s="407"/>
      <c r="I4" s="407"/>
      <c r="J4" s="407"/>
      <c r="K4" s="407"/>
      <c r="L4" s="407"/>
      <c r="M4" s="407"/>
      <c r="N4" s="407"/>
      <c r="O4" s="407"/>
      <c r="P4" s="407"/>
      <c r="Q4" s="519"/>
    </row>
    <row r="5" spans="2:34" ht="15.75">
      <c r="B5" s="3"/>
      <c r="C5" s="3"/>
      <c r="D5" s="402" t="s">
        <v>759</v>
      </c>
      <c r="E5" s="520"/>
      <c r="F5" s="520"/>
      <c r="G5" s="520"/>
      <c r="H5" s="520"/>
      <c r="I5" s="520"/>
      <c r="J5" s="520"/>
      <c r="K5" s="520"/>
      <c r="L5" s="520"/>
      <c r="M5" s="520"/>
      <c r="N5" s="520"/>
      <c r="O5" s="520"/>
      <c r="P5" s="521"/>
      <c r="Q5" s="522"/>
    </row>
    <row r="6" spans="2:34" ht="15.75" thickBot="1"/>
    <row r="7" spans="2:34" ht="38.1" customHeight="1">
      <c r="B7" s="439" t="s">
        <v>4</v>
      </c>
      <c r="C7" s="439" t="s">
        <v>21</v>
      </c>
      <c r="D7" s="623" t="s">
        <v>5</v>
      </c>
      <c r="E7" s="523" t="s">
        <v>22</v>
      </c>
      <c r="F7" s="524"/>
      <c r="G7" s="524"/>
      <c r="H7" s="524"/>
      <c r="I7" s="524"/>
      <c r="J7" s="525"/>
      <c r="K7" s="526" t="s">
        <v>14</v>
      </c>
      <c r="L7" s="527"/>
      <c r="M7" s="528"/>
      <c r="N7" s="495" t="s">
        <v>16</v>
      </c>
      <c r="O7" s="498" t="s">
        <v>15</v>
      </c>
      <c r="P7" s="439" t="s">
        <v>6</v>
      </c>
      <c r="Q7" s="590" t="s">
        <v>7</v>
      </c>
      <c r="R7" s="568" t="s">
        <v>381</v>
      </c>
      <c r="S7" s="568"/>
      <c r="T7" s="568"/>
      <c r="U7" s="568"/>
      <c r="V7" s="568"/>
      <c r="W7" s="568"/>
      <c r="X7" s="568"/>
      <c r="Y7" s="568"/>
      <c r="Z7" s="568"/>
    </row>
    <row r="8" spans="2:34" ht="20.25" customHeight="1">
      <c r="B8" s="440"/>
      <c r="C8" s="440"/>
      <c r="D8" s="624"/>
      <c r="E8" s="530" t="s">
        <v>8</v>
      </c>
      <c r="F8" s="530"/>
      <c r="G8" s="128"/>
      <c r="H8" s="122"/>
      <c r="I8" s="122"/>
      <c r="J8" s="130"/>
      <c r="K8" s="529" t="s">
        <v>100</v>
      </c>
      <c r="L8" s="532" t="s">
        <v>23</v>
      </c>
      <c r="M8" s="534" t="s">
        <v>101</v>
      </c>
      <c r="N8" s="496"/>
      <c r="O8" s="499"/>
      <c r="P8" s="440"/>
      <c r="Q8" s="591"/>
      <c r="R8" s="454"/>
      <c r="S8" s="454"/>
      <c r="T8" s="454"/>
      <c r="U8" s="454"/>
      <c r="V8" s="454"/>
      <c r="W8" s="454"/>
      <c r="X8" s="454"/>
      <c r="Y8" s="454"/>
      <c r="Z8" s="454"/>
      <c r="AB8" s="1" t="s">
        <v>436</v>
      </c>
    </row>
    <row r="9" spans="2:34" s="2" customFormat="1" ht="72.75" customHeight="1" thickBot="1">
      <c r="B9" s="440"/>
      <c r="C9" s="440"/>
      <c r="D9" s="624"/>
      <c r="E9" s="129" t="s">
        <v>103</v>
      </c>
      <c r="F9" s="129" t="s">
        <v>104</v>
      </c>
      <c r="G9" s="129" t="s">
        <v>9</v>
      </c>
      <c r="H9" s="126" t="s">
        <v>102</v>
      </c>
      <c r="I9" s="126" t="s">
        <v>13</v>
      </c>
      <c r="J9" s="131" t="s">
        <v>10</v>
      </c>
      <c r="K9" s="531"/>
      <c r="L9" s="533"/>
      <c r="M9" s="535"/>
      <c r="N9" s="496"/>
      <c r="O9" s="499"/>
      <c r="P9" s="440"/>
      <c r="Q9" s="592"/>
      <c r="R9" s="197">
        <v>2022</v>
      </c>
      <c r="S9" s="34">
        <v>2023</v>
      </c>
      <c r="T9" s="5">
        <v>2024</v>
      </c>
      <c r="U9" s="5" t="s">
        <v>92</v>
      </c>
      <c r="V9" s="35">
        <v>2026</v>
      </c>
      <c r="W9" s="35">
        <v>2027</v>
      </c>
      <c r="X9" s="211" t="s">
        <v>94</v>
      </c>
      <c r="Y9" s="35">
        <v>2029</v>
      </c>
      <c r="Z9" s="35">
        <v>2030</v>
      </c>
      <c r="AB9" s="249" t="s">
        <v>440</v>
      </c>
      <c r="AC9" s="249" t="s">
        <v>577</v>
      </c>
      <c r="AD9" s="249" t="s">
        <v>437</v>
      </c>
      <c r="AE9" s="249" t="s">
        <v>438</v>
      </c>
      <c r="AF9" s="249" t="s">
        <v>439</v>
      </c>
    </row>
    <row r="10" spans="2:34" ht="15" customHeight="1">
      <c r="B10" s="634" t="s">
        <v>172</v>
      </c>
      <c r="C10" s="629" t="s">
        <v>173</v>
      </c>
      <c r="D10" s="632" t="s">
        <v>220</v>
      </c>
      <c r="E10" s="480" t="s">
        <v>417</v>
      </c>
      <c r="F10" s="500" t="s">
        <v>418</v>
      </c>
      <c r="G10" s="219"/>
      <c r="H10" s="219"/>
      <c r="I10" s="500" t="s">
        <v>420</v>
      </c>
      <c r="J10" s="219"/>
      <c r="K10" s="475" t="s">
        <v>472</v>
      </c>
      <c r="L10" s="475" t="s">
        <v>473</v>
      </c>
      <c r="M10" s="475" t="s">
        <v>515</v>
      </c>
      <c r="N10" s="475" t="s">
        <v>451</v>
      </c>
      <c r="O10" s="492" t="s">
        <v>514</v>
      </c>
      <c r="P10" s="9" t="s">
        <v>319</v>
      </c>
      <c r="Q10" s="178" t="s">
        <v>231</v>
      </c>
      <c r="R10" s="198"/>
      <c r="S10" s="107"/>
      <c r="T10" s="107"/>
      <c r="U10" s="107"/>
      <c r="V10" s="108"/>
      <c r="W10" s="108"/>
      <c r="X10" s="108"/>
      <c r="Y10" s="108"/>
      <c r="Z10" s="108"/>
      <c r="AB10" s="244"/>
      <c r="AC10" s="244"/>
      <c r="AD10" s="244"/>
      <c r="AE10" s="244"/>
      <c r="AF10" s="244"/>
    </row>
    <row r="11" spans="2:34" ht="15" customHeight="1">
      <c r="B11" s="635"/>
      <c r="C11" s="639"/>
      <c r="D11" s="633"/>
      <c r="E11" s="481"/>
      <c r="F11" s="501"/>
      <c r="G11" s="219"/>
      <c r="H11" s="219"/>
      <c r="I11" s="501"/>
      <c r="J11" s="219"/>
      <c r="K11" s="476"/>
      <c r="L11" s="476"/>
      <c r="M11" s="476"/>
      <c r="N11" s="476"/>
      <c r="O11" s="493"/>
      <c r="P11" s="10" t="s">
        <v>320</v>
      </c>
      <c r="Q11" s="190" t="s">
        <v>231</v>
      </c>
      <c r="R11" s="272"/>
      <c r="S11" s="258"/>
      <c r="T11" s="258"/>
      <c r="U11" s="258"/>
      <c r="V11" s="287"/>
      <c r="W11" s="287"/>
      <c r="X11" s="287"/>
      <c r="Y11" s="287"/>
      <c r="Z11" s="287"/>
      <c r="AB11" s="251"/>
      <c r="AC11" s="251"/>
      <c r="AD11" s="251"/>
      <c r="AE11" s="251"/>
      <c r="AF11" s="251"/>
    </row>
    <row r="12" spans="2:34" ht="15" customHeight="1">
      <c r="B12" s="635"/>
      <c r="C12" s="639"/>
      <c r="D12" s="633"/>
      <c r="E12" s="481"/>
      <c r="F12" s="501"/>
      <c r="G12" s="219"/>
      <c r="H12" s="219"/>
      <c r="I12" s="501"/>
      <c r="J12" s="219"/>
      <c r="K12" s="476"/>
      <c r="L12" s="476"/>
      <c r="M12" s="476"/>
      <c r="N12" s="476"/>
      <c r="O12" s="493"/>
      <c r="P12" s="10" t="s">
        <v>321</v>
      </c>
      <c r="Q12" s="190" t="s">
        <v>370</v>
      </c>
      <c r="R12" s="277"/>
      <c r="S12" s="278"/>
      <c r="T12" s="278"/>
      <c r="U12" s="278"/>
      <c r="V12" s="288"/>
      <c r="W12" s="288"/>
      <c r="X12" s="288"/>
      <c r="Y12" s="288"/>
      <c r="Z12" s="288"/>
      <c r="AB12" s="251"/>
      <c r="AC12" s="251"/>
      <c r="AD12" s="251"/>
      <c r="AE12" s="251"/>
      <c r="AF12" s="251"/>
    </row>
    <row r="13" spans="2:34" ht="15" customHeight="1">
      <c r="B13" s="635"/>
      <c r="C13" s="639"/>
      <c r="D13" s="633"/>
      <c r="E13" s="481"/>
      <c r="F13" s="501"/>
      <c r="G13" s="219"/>
      <c r="H13" s="219"/>
      <c r="I13" s="501"/>
      <c r="J13" s="219"/>
      <c r="K13" s="476"/>
      <c r="L13" s="476"/>
      <c r="M13" s="476"/>
      <c r="N13" s="476"/>
      <c r="O13" s="493"/>
      <c r="P13" s="10" t="s">
        <v>322</v>
      </c>
      <c r="Q13" s="190" t="s">
        <v>370</v>
      </c>
      <c r="R13" s="277"/>
      <c r="S13" s="278"/>
      <c r="T13" s="278"/>
      <c r="U13" s="278"/>
      <c r="V13" s="288"/>
      <c r="W13" s="288"/>
      <c r="X13" s="288"/>
      <c r="Y13" s="288"/>
      <c r="Z13" s="288"/>
      <c r="AB13" s="251"/>
      <c r="AC13" s="251"/>
      <c r="AD13" s="251"/>
      <c r="AE13" s="251"/>
      <c r="AF13" s="251"/>
    </row>
    <row r="14" spans="2:34" ht="15" customHeight="1">
      <c r="B14" s="635"/>
      <c r="C14" s="639"/>
      <c r="D14" s="633"/>
      <c r="E14" s="575"/>
      <c r="F14" s="502"/>
      <c r="G14" s="220"/>
      <c r="H14" s="220"/>
      <c r="I14" s="501"/>
      <c r="J14" s="219"/>
      <c r="K14" s="476"/>
      <c r="L14" s="476"/>
      <c r="M14" s="476"/>
      <c r="N14" s="476"/>
      <c r="O14" s="493"/>
      <c r="P14" s="12" t="s">
        <v>323</v>
      </c>
      <c r="Q14" s="191" t="s">
        <v>231</v>
      </c>
      <c r="R14" s="289"/>
      <c r="S14" s="261"/>
      <c r="T14" s="261"/>
      <c r="U14" s="261"/>
      <c r="V14" s="290"/>
      <c r="W14" s="290"/>
      <c r="X14" s="290"/>
      <c r="Y14" s="290"/>
      <c r="Z14" s="290"/>
      <c r="AB14" s="251"/>
      <c r="AC14" s="251"/>
      <c r="AD14" s="251"/>
      <c r="AE14" s="251"/>
      <c r="AF14" s="251"/>
    </row>
    <row r="15" spans="2:34" ht="15" customHeight="1">
      <c r="B15" s="635"/>
      <c r="C15" s="639"/>
      <c r="D15" s="632" t="s">
        <v>221</v>
      </c>
      <c r="E15" s="480" t="s">
        <v>590</v>
      </c>
      <c r="F15" s="500" t="s">
        <v>591</v>
      </c>
      <c r="G15" s="226"/>
      <c r="H15" s="226"/>
      <c r="I15" s="500" t="s">
        <v>419</v>
      </c>
      <c r="J15" s="464" t="s">
        <v>387</v>
      </c>
      <c r="K15" s="475" t="s">
        <v>504</v>
      </c>
      <c r="L15" s="475" t="s">
        <v>518</v>
      </c>
      <c r="M15" s="475" t="s">
        <v>517</v>
      </c>
      <c r="N15" s="475" t="s">
        <v>451</v>
      </c>
      <c r="O15" s="492" t="s">
        <v>516</v>
      </c>
      <c r="P15" s="10" t="s">
        <v>324</v>
      </c>
      <c r="Q15" s="190" t="s">
        <v>370</v>
      </c>
      <c r="R15" s="272"/>
      <c r="S15" s="258"/>
      <c r="T15" s="258"/>
      <c r="U15" s="258"/>
      <c r="V15" s="287"/>
      <c r="W15" s="287"/>
      <c r="X15" s="287"/>
      <c r="Y15" s="287"/>
      <c r="Z15" s="287"/>
      <c r="AB15" s="251"/>
      <c r="AC15" s="251"/>
      <c r="AD15" s="251"/>
      <c r="AE15" s="251"/>
      <c r="AF15" s="251"/>
    </row>
    <row r="16" spans="2:34" ht="15" customHeight="1">
      <c r="B16" s="635"/>
      <c r="C16" s="639"/>
      <c r="D16" s="641"/>
      <c r="E16" s="481"/>
      <c r="F16" s="501"/>
      <c r="G16" s="219"/>
      <c r="H16" s="219"/>
      <c r="I16" s="501"/>
      <c r="J16" s="567"/>
      <c r="K16" s="476"/>
      <c r="L16" s="476"/>
      <c r="M16" s="476"/>
      <c r="N16" s="476"/>
      <c r="O16" s="493"/>
      <c r="P16" s="186" t="s">
        <v>449</v>
      </c>
      <c r="Q16" s="253" t="s">
        <v>370</v>
      </c>
      <c r="R16" s="272"/>
      <c r="S16" s="258"/>
      <c r="T16" s="258"/>
      <c r="U16" s="258"/>
      <c r="V16" s="287"/>
      <c r="W16" s="287"/>
      <c r="X16" s="287"/>
      <c r="Y16" s="287"/>
      <c r="Z16" s="287"/>
      <c r="AB16" s="252" t="s">
        <v>448</v>
      </c>
      <c r="AC16" s="282" t="s">
        <v>582</v>
      </c>
      <c r="AD16" s="254" t="s">
        <v>583</v>
      </c>
      <c r="AE16" s="311">
        <f>('Récapitulatif évolution'!MB12-'Récapitulatif évolution'!MG22)/(0.5*AG16)</f>
        <v>1.6699999999999997</v>
      </c>
      <c r="AF16" s="311">
        <f>('Récapitulatif évolution'!MB29-'Récapitulatif évolution'!MG39)/(0.5*AG16)</f>
        <v>124.45714285714287</v>
      </c>
      <c r="AG16">
        <v>60</v>
      </c>
      <c r="AH16" s="307" t="s">
        <v>541</v>
      </c>
    </row>
    <row r="17" spans="2:35" ht="15" customHeight="1">
      <c r="B17" s="635"/>
      <c r="C17" s="639"/>
      <c r="D17" s="641"/>
      <c r="E17" s="481"/>
      <c r="F17" s="501"/>
      <c r="G17" s="219"/>
      <c r="H17" s="219"/>
      <c r="I17" s="501"/>
      <c r="J17" s="567"/>
      <c r="K17" s="476"/>
      <c r="L17" s="476"/>
      <c r="M17" s="476"/>
      <c r="N17" s="476"/>
      <c r="O17" s="493"/>
      <c r="P17" s="10" t="s">
        <v>325</v>
      </c>
      <c r="Q17" s="190" t="s">
        <v>370</v>
      </c>
      <c r="R17" s="272"/>
      <c r="S17" s="258"/>
      <c r="T17" s="258"/>
      <c r="U17" s="258"/>
      <c r="V17" s="287"/>
      <c r="W17" s="287"/>
      <c r="X17" s="287"/>
      <c r="Y17" s="287"/>
      <c r="Z17" s="287"/>
      <c r="AB17" s="251"/>
      <c r="AC17" s="251"/>
      <c r="AD17" s="251"/>
      <c r="AE17" s="311"/>
      <c r="AF17" s="311"/>
    </row>
    <row r="18" spans="2:35">
      <c r="B18" s="635"/>
      <c r="C18" s="639"/>
      <c r="D18" s="641"/>
      <c r="E18" s="481"/>
      <c r="F18" s="501"/>
      <c r="G18" s="219"/>
      <c r="H18" s="219"/>
      <c r="I18" s="501"/>
      <c r="J18" s="567"/>
      <c r="K18" s="476"/>
      <c r="L18" s="476"/>
      <c r="M18" s="476"/>
      <c r="N18" s="476"/>
      <c r="O18" s="493"/>
      <c r="P18" s="186" t="s">
        <v>443</v>
      </c>
      <c r="Q18" s="253" t="s">
        <v>370</v>
      </c>
      <c r="R18" s="277"/>
      <c r="S18" s="278"/>
      <c r="T18" s="278"/>
      <c r="U18" s="278"/>
      <c r="V18" s="288"/>
      <c r="W18" s="288"/>
      <c r="X18" s="288"/>
      <c r="Y18" s="288"/>
      <c r="Z18" s="288"/>
      <c r="AB18" s="252" t="s">
        <v>447</v>
      </c>
      <c r="AC18" s="251" t="s">
        <v>585</v>
      </c>
      <c r="AD18" s="254" t="s">
        <v>584</v>
      </c>
      <c r="AE18" s="311">
        <f>(AG20*('Récapitulatif évolution'!LZ12-'Récapitulatif évolution'!ME22))/(0.23*AG18)</f>
        <v>3.8700978760237037E-2</v>
      </c>
      <c r="AF18" s="311">
        <f>(AG20*('Récapitulatif évolution'!LZ29-'Récapitulatif évolution'!ME39))/(0.23*AG18)</f>
        <v>16.615620214395101</v>
      </c>
      <c r="AG18">
        <v>653</v>
      </c>
      <c r="AH18" s="307" t="s">
        <v>542</v>
      </c>
    </row>
    <row r="19" spans="2:35" ht="25.5">
      <c r="B19" s="635"/>
      <c r="C19" s="639"/>
      <c r="D19" s="641"/>
      <c r="E19" s="481"/>
      <c r="F19" s="501"/>
      <c r="G19" s="219"/>
      <c r="H19" s="219"/>
      <c r="I19" s="501"/>
      <c r="J19" s="567"/>
      <c r="K19" s="476"/>
      <c r="L19" s="476"/>
      <c r="M19" s="476"/>
      <c r="N19" s="476"/>
      <c r="O19" s="493"/>
      <c r="P19" s="396" t="s">
        <v>742</v>
      </c>
      <c r="Q19" s="397" t="s">
        <v>370</v>
      </c>
      <c r="R19" s="277"/>
      <c r="S19" s="278"/>
      <c r="T19" s="278"/>
      <c r="U19" s="278"/>
      <c r="V19" s="288"/>
      <c r="W19" s="288"/>
      <c r="X19" s="288"/>
      <c r="Y19" s="288"/>
      <c r="Z19" s="288"/>
      <c r="AB19" s="252"/>
      <c r="AC19" s="251"/>
      <c r="AD19" s="254"/>
      <c r="AE19" s="311"/>
      <c r="AF19" s="311"/>
      <c r="AH19" s="307"/>
    </row>
    <row r="20" spans="2:35" ht="30" customHeight="1">
      <c r="B20" s="635"/>
      <c r="C20" s="640"/>
      <c r="D20" s="641"/>
      <c r="E20" s="575"/>
      <c r="F20" s="502"/>
      <c r="G20" s="220"/>
      <c r="H20" s="220"/>
      <c r="I20" s="502"/>
      <c r="J20" s="580"/>
      <c r="K20" s="476"/>
      <c r="L20" s="476"/>
      <c r="M20" s="476"/>
      <c r="N20" s="476"/>
      <c r="O20" s="493"/>
      <c r="P20" s="12" t="s">
        <v>326</v>
      </c>
      <c r="Q20" s="191" t="s">
        <v>231</v>
      </c>
      <c r="R20" s="289"/>
      <c r="S20" s="261"/>
      <c r="T20" s="261"/>
      <c r="U20" s="261"/>
      <c r="V20" s="290"/>
      <c r="W20" s="290"/>
      <c r="X20" s="290"/>
      <c r="Y20" s="290"/>
      <c r="Z20" s="290"/>
      <c r="AB20" s="251"/>
      <c r="AC20" s="251"/>
      <c r="AD20" s="251"/>
      <c r="AE20" s="311"/>
      <c r="AF20" s="311"/>
      <c r="AG20" s="313">
        <v>0.77500000000000002</v>
      </c>
      <c r="AH20" s="307" t="s">
        <v>543</v>
      </c>
    </row>
    <row r="21" spans="2:35" ht="15" customHeight="1">
      <c r="B21" s="635"/>
      <c r="C21" s="629" t="s">
        <v>197</v>
      </c>
      <c r="D21" s="632" t="s">
        <v>222</v>
      </c>
      <c r="E21" s="461" t="s">
        <v>421</v>
      </c>
      <c r="F21" s="500" t="s">
        <v>422</v>
      </c>
      <c r="G21" s="219"/>
      <c r="H21" s="219"/>
      <c r="I21" s="501" t="s">
        <v>434</v>
      </c>
      <c r="J21" s="232"/>
      <c r="K21" s="475" t="s">
        <v>465</v>
      </c>
      <c r="L21" s="475" t="s">
        <v>521</v>
      </c>
      <c r="M21" s="475" t="s">
        <v>520</v>
      </c>
      <c r="N21" s="475" t="s">
        <v>451</v>
      </c>
      <c r="O21" s="492" t="s">
        <v>519</v>
      </c>
      <c r="P21" s="10" t="s">
        <v>327</v>
      </c>
      <c r="Q21" s="190" t="s">
        <v>370</v>
      </c>
      <c r="R21" s="270"/>
      <c r="S21" s="262"/>
      <c r="T21" s="262"/>
      <c r="U21" s="262"/>
      <c r="V21" s="291"/>
      <c r="W21" s="291"/>
      <c r="X21" s="291"/>
      <c r="Y21" s="291"/>
      <c r="Z21" s="291"/>
      <c r="AB21" s="251"/>
      <c r="AC21" s="251"/>
      <c r="AD21" s="251"/>
      <c r="AE21" s="311"/>
      <c r="AF21" s="311"/>
      <c r="AG21" s="45"/>
      <c r="AI21" s="45"/>
    </row>
    <row r="22" spans="2:35" ht="15" customHeight="1">
      <c r="B22" s="635"/>
      <c r="C22" s="630"/>
      <c r="D22" s="633"/>
      <c r="E22" s="566"/>
      <c r="F22" s="501"/>
      <c r="G22" s="219"/>
      <c r="H22" s="219"/>
      <c r="I22" s="501"/>
      <c r="J22" s="232"/>
      <c r="K22" s="476"/>
      <c r="L22" s="476"/>
      <c r="M22" s="476"/>
      <c r="N22" s="476"/>
      <c r="O22" s="493"/>
      <c r="P22" s="10" t="s">
        <v>328</v>
      </c>
      <c r="Q22" s="190" t="s">
        <v>370</v>
      </c>
      <c r="R22" s="270"/>
      <c r="S22" s="262"/>
      <c r="T22" s="262"/>
      <c r="U22" s="262"/>
      <c r="V22" s="291"/>
      <c r="W22" s="291"/>
      <c r="X22" s="291"/>
      <c r="Y22" s="291"/>
      <c r="Z22" s="291"/>
      <c r="AB22" s="251"/>
      <c r="AC22" s="251"/>
      <c r="AD22" s="251"/>
      <c r="AE22" s="311"/>
      <c r="AF22" s="311"/>
      <c r="AG22" s="45"/>
      <c r="AH22">
        <f>653*0.3</f>
        <v>195.9</v>
      </c>
      <c r="AI22" s="45"/>
    </row>
    <row r="23" spans="2:35" ht="15" customHeight="1">
      <c r="B23" s="635"/>
      <c r="C23" s="630"/>
      <c r="D23" s="633"/>
      <c r="E23" s="566"/>
      <c r="F23" s="501"/>
      <c r="G23" s="219"/>
      <c r="H23" s="219"/>
      <c r="I23" s="501"/>
      <c r="J23" s="232"/>
      <c r="K23" s="476"/>
      <c r="L23" s="476"/>
      <c r="M23" s="476"/>
      <c r="N23" s="476"/>
      <c r="O23" s="493"/>
      <c r="P23" s="11" t="s">
        <v>329</v>
      </c>
      <c r="Q23" s="190" t="s">
        <v>231</v>
      </c>
      <c r="R23" s="274"/>
      <c r="S23" s="263"/>
      <c r="T23" s="263"/>
      <c r="U23" s="263"/>
      <c r="V23" s="292"/>
      <c r="W23" s="292"/>
      <c r="X23" s="292"/>
      <c r="Y23" s="292"/>
      <c r="Z23" s="292"/>
      <c r="AB23" s="251"/>
      <c r="AC23" s="251"/>
      <c r="AD23" s="251"/>
      <c r="AE23" s="251"/>
      <c r="AF23" s="251"/>
    </row>
    <row r="24" spans="2:35" ht="15" customHeight="1">
      <c r="B24" s="635"/>
      <c r="C24" s="630"/>
      <c r="D24" s="633"/>
      <c r="E24" s="566"/>
      <c r="F24" s="501"/>
      <c r="G24" s="219"/>
      <c r="H24" s="219"/>
      <c r="I24" s="501"/>
      <c r="J24" s="232"/>
      <c r="K24" s="476"/>
      <c r="L24" s="476"/>
      <c r="M24" s="476"/>
      <c r="N24" s="476"/>
      <c r="O24" s="493"/>
      <c r="P24" s="10" t="s">
        <v>330</v>
      </c>
      <c r="Q24" s="190" t="s">
        <v>231</v>
      </c>
      <c r="R24" s="274"/>
      <c r="S24" s="263"/>
      <c r="T24" s="263"/>
      <c r="U24" s="263"/>
      <c r="V24" s="292"/>
      <c r="W24" s="292"/>
      <c r="X24" s="292"/>
      <c r="Y24" s="292"/>
      <c r="Z24" s="292"/>
      <c r="AB24" s="251"/>
      <c r="AC24" s="251"/>
      <c r="AD24" s="251"/>
      <c r="AE24" s="251"/>
      <c r="AF24" s="251"/>
    </row>
    <row r="25" spans="2:35" ht="15" customHeight="1">
      <c r="B25" s="635"/>
      <c r="C25" s="630"/>
      <c r="D25" s="633"/>
      <c r="E25" s="566"/>
      <c r="F25" s="501"/>
      <c r="G25" s="219"/>
      <c r="H25" s="219"/>
      <c r="I25" s="501"/>
      <c r="J25" s="232"/>
      <c r="K25" s="476"/>
      <c r="L25" s="476"/>
      <c r="M25" s="476"/>
      <c r="N25" s="476"/>
      <c r="O25" s="493"/>
      <c r="P25" s="10" t="s">
        <v>331</v>
      </c>
      <c r="Q25" s="190" t="s">
        <v>231</v>
      </c>
      <c r="R25" s="274"/>
      <c r="S25" s="263"/>
      <c r="T25" s="263"/>
      <c r="U25" s="263"/>
      <c r="V25" s="292"/>
      <c r="W25" s="292"/>
      <c r="X25" s="292"/>
      <c r="Y25" s="292"/>
      <c r="Z25" s="292"/>
      <c r="AB25" s="251"/>
      <c r="AC25" s="251"/>
      <c r="AD25" s="251"/>
      <c r="AE25" s="251"/>
      <c r="AF25" s="251"/>
    </row>
    <row r="26" spans="2:35" ht="15" customHeight="1">
      <c r="B26" s="635"/>
      <c r="C26" s="630"/>
      <c r="D26" s="633"/>
      <c r="E26" s="566"/>
      <c r="F26" s="501"/>
      <c r="G26" s="219"/>
      <c r="H26" s="219"/>
      <c r="I26" s="501"/>
      <c r="J26" s="232"/>
      <c r="K26" s="476"/>
      <c r="L26" s="476"/>
      <c r="M26" s="476"/>
      <c r="N26" s="476"/>
      <c r="O26" s="493"/>
      <c r="P26" s="10" t="s">
        <v>746</v>
      </c>
      <c r="Q26" s="398" t="s">
        <v>376</v>
      </c>
      <c r="R26" s="274"/>
      <c r="S26" s="263"/>
      <c r="T26" s="263"/>
      <c r="U26" s="263"/>
      <c r="V26" s="292"/>
      <c r="W26" s="292"/>
      <c r="X26" s="292"/>
      <c r="Y26" s="292"/>
      <c r="Z26" s="292"/>
      <c r="AB26" s="251"/>
      <c r="AC26" s="251"/>
      <c r="AD26" s="251"/>
      <c r="AE26" s="251"/>
      <c r="AF26" s="251"/>
    </row>
    <row r="27" spans="2:35" ht="15" customHeight="1">
      <c r="B27" s="635"/>
      <c r="C27" s="630"/>
      <c r="D27" s="633"/>
      <c r="E27" s="566"/>
      <c r="F27" s="502"/>
      <c r="G27" s="220"/>
      <c r="H27" s="220"/>
      <c r="I27" s="502"/>
      <c r="J27" s="225"/>
      <c r="K27" s="476"/>
      <c r="L27" s="476"/>
      <c r="M27" s="476"/>
      <c r="N27" s="476"/>
      <c r="O27" s="493"/>
      <c r="P27" s="10" t="s">
        <v>332</v>
      </c>
      <c r="Q27" s="190" t="s">
        <v>376</v>
      </c>
      <c r="R27" s="274"/>
      <c r="S27" s="263"/>
      <c r="T27" s="263"/>
      <c r="U27" s="263"/>
      <c r="V27" s="292"/>
      <c r="W27" s="292"/>
      <c r="X27" s="292"/>
      <c r="Y27" s="292"/>
      <c r="Z27" s="292"/>
      <c r="AB27" s="251"/>
      <c r="AC27" s="251"/>
      <c r="AD27" s="251"/>
      <c r="AE27" s="251"/>
      <c r="AF27" s="251"/>
      <c r="AG27" s="45"/>
    </row>
    <row r="28" spans="2:35" ht="15" customHeight="1">
      <c r="B28" s="635"/>
      <c r="C28" s="630"/>
      <c r="D28" s="632" t="s">
        <v>223</v>
      </c>
      <c r="E28" s="461" t="s">
        <v>421</v>
      </c>
      <c r="F28" s="500" t="s">
        <v>422</v>
      </c>
      <c r="G28" s="219"/>
      <c r="H28" s="219"/>
      <c r="I28" s="219"/>
      <c r="J28" s="219"/>
      <c r="K28" s="475" t="s">
        <v>504</v>
      </c>
      <c r="L28" s="475" t="s">
        <v>524</v>
      </c>
      <c r="M28" s="475" t="s">
        <v>523</v>
      </c>
      <c r="N28" s="475" t="s">
        <v>451</v>
      </c>
      <c r="O28" s="492" t="s">
        <v>522</v>
      </c>
      <c r="P28" s="10" t="s">
        <v>333</v>
      </c>
      <c r="Q28" s="190" t="s">
        <v>231</v>
      </c>
      <c r="R28" s="270"/>
      <c r="S28" s="262"/>
      <c r="T28" s="262"/>
      <c r="U28" s="262"/>
      <c r="V28" s="291"/>
      <c r="W28" s="291"/>
      <c r="X28" s="291"/>
      <c r="Y28" s="291"/>
      <c r="Z28" s="291"/>
      <c r="AB28" s="251"/>
      <c r="AC28" s="251"/>
      <c r="AD28" s="251"/>
      <c r="AE28" s="251"/>
      <c r="AF28" s="251"/>
      <c r="AG28" s="45"/>
      <c r="AI28" s="45"/>
    </row>
    <row r="29" spans="2:35" ht="15" customHeight="1">
      <c r="B29" s="635"/>
      <c r="C29" s="630"/>
      <c r="D29" s="633"/>
      <c r="E29" s="566"/>
      <c r="F29" s="501"/>
      <c r="G29" s="219"/>
      <c r="H29" s="219"/>
      <c r="I29" s="219"/>
      <c r="J29" s="219"/>
      <c r="K29" s="476"/>
      <c r="L29" s="476"/>
      <c r="M29" s="476"/>
      <c r="N29" s="476"/>
      <c r="O29" s="493"/>
      <c r="P29" s="10" t="s">
        <v>380</v>
      </c>
      <c r="Q29" s="190" t="s">
        <v>370</v>
      </c>
      <c r="R29" s="270"/>
      <c r="S29" s="262"/>
      <c r="T29" s="262"/>
      <c r="U29" s="262"/>
      <c r="V29" s="291"/>
      <c r="W29" s="291"/>
      <c r="X29" s="291"/>
      <c r="Y29" s="291"/>
      <c r="Z29" s="291"/>
      <c r="AB29" s="251"/>
      <c r="AC29" s="251"/>
      <c r="AD29" s="251"/>
      <c r="AE29" s="251"/>
      <c r="AF29" s="251"/>
      <c r="AG29" s="45"/>
      <c r="AI29" s="45"/>
    </row>
    <row r="30" spans="2:35" ht="15" customHeight="1">
      <c r="B30" s="635"/>
      <c r="C30" s="630"/>
      <c r="D30" s="633"/>
      <c r="E30" s="566"/>
      <c r="F30" s="501"/>
      <c r="G30" s="219"/>
      <c r="H30" s="219"/>
      <c r="I30" s="219"/>
      <c r="J30" s="219"/>
      <c r="K30" s="476"/>
      <c r="L30" s="476"/>
      <c r="M30" s="476"/>
      <c r="N30" s="476"/>
      <c r="O30" s="493"/>
      <c r="P30" s="10" t="s">
        <v>334</v>
      </c>
      <c r="Q30" s="190" t="s">
        <v>370</v>
      </c>
      <c r="R30" s="270"/>
      <c r="S30" s="262"/>
      <c r="T30" s="262"/>
      <c r="U30" s="262"/>
      <c r="V30" s="291"/>
      <c r="W30" s="291"/>
      <c r="X30" s="291"/>
      <c r="Y30" s="291"/>
      <c r="Z30" s="291"/>
      <c r="AB30" s="251"/>
      <c r="AC30" s="251"/>
      <c r="AD30" s="251"/>
      <c r="AE30" s="251"/>
      <c r="AF30" s="251"/>
      <c r="AG30" s="45"/>
      <c r="AI30" s="45"/>
    </row>
    <row r="31" spans="2:35" ht="15" customHeight="1">
      <c r="B31" s="635"/>
      <c r="C31" s="630"/>
      <c r="D31" s="633"/>
      <c r="E31" s="566"/>
      <c r="F31" s="501"/>
      <c r="G31" s="219"/>
      <c r="H31" s="219"/>
      <c r="I31" s="219"/>
      <c r="J31" s="219"/>
      <c r="K31" s="476"/>
      <c r="L31" s="476"/>
      <c r="M31" s="476"/>
      <c r="N31" s="476"/>
      <c r="O31" s="493"/>
      <c r="P31" s="10" t="s">
        <v>744</v>
      </c>
      <c r="Q31" s="398" t="s">
        <v>743</v>
      </c>
      <c r="R31" s="270"/>
      <c r="S31" s="262"/>
      <c r="T31" s="262"/>
      <c r="U31" s="262"/>
      <c r="V31" s="291"/>
      <c r="W31" s="291"/>
      <c r="X31" s="291"/>
      <c r="Y31" s="291"/>
      <c r="Z31" s="291"/>
      <c r="AB31" s="251"/>
      <c r="AC31" s="251"/>
      <c r="AD31" s="251"/>
      <c r="AE31" s="251"/>
      <c r="AF31" s="251"/>
      <c r="AG31" s="45"/>
      <c r="AI31" s="45"/>
    </row>
    <row r="32" spans="2:35" ht="15" customHeight="1">
      <c r="B32" s="635"/>
      <c r="C32" s="630"/>
      <c r="D32" s="633"/>
      <c r="E32" s="566"/>
      <c r="F32" s="501"/>
      <c r="G32" s="219"/>
      <c r="H32" s="219"/>
      <c r="I32" s="219"/>
      <c r="J32" s="219"/>
      <c r="K32" s="476"/>
      <c r="L32" s="476"/>
      <c r="M32" s="476"/>
      <c r="N32" s="476"/>
      <c r="O32" s="493"/>
      <c r="P32" s="10" t="s">
        <v>745</v>
      </c>
      <c r="Q32" s="398" t="s">
        <v>743</v>
      </c>
      <c r="R32" s="270"/>
      <c r="S32" s="262"/>
      <c r="T32" s="262"/>
      <c r="U32" s="262"/>
      <c r="V32" s="291"/>
      <c r="W32" s="291"/>
      <c r="X32" s="291"/>
      <c r="Y32" s="291"/>
      <c r="Z32" s="291"/>
      <c r="AB32" s="251"/>
      <c r="AC32" s="251"/>
      <c r="AD32" s="251"/>
      <c r="AE32" s="251"/>
      <c r="AF32" s="251"/>
      <c r="AG32" s="45"/>
      <c r="AI32" s="45"/>
    </row>
    <row r="33" spans="2:35" ht="15" customHeight="1">
      <c r="B33" s="635"/>
      <c r="C33" s="630"/>
      <c r="D33" s="633"/>
      <c r="E33" s="566"/>
      <c r="F33" s="501"/>
      <c r="G33" s="219"/>
      <c r="H33" s="219"/>
      <c r="I33" s="219"/>
      <c r="J33" s="219"/>
      <c r="K33" s="476"/>
      <c r="L33" s="476"/>
      <c r="M33" s="476"/>
      <c r="N33" s="476"/>
      <c r="O33" s="493"/>
      <c r="P33" s="11" t="s">
        <v>335</v>
      </c>
      <c r="Q33" s="190" t="s">
        <v>231</v>
      </c>
      <c r="R33" s="274"/>
      <c r="S33" s="263"/>
      <c r="T33" s="263"/>
      <c r="U33" s="263"/>
      <c r="V33" s="292"/>
      <c r="W33" s="292"/>
      <c r="X33" s="292"/>
      <c r="Y33" s="292"/>
      <c r="Z33" s="292"/>
      <c r="AB33" s="251"/>
      <c r="AC33" s="251"/>
      <c r="AD33" s="251"/>
      <c r="AE33" s="251"/>
      <c r="AF33" s="251"/>
    </row>
    <row r="34" spans="2:35" ht="15" customHeight="1">
      <c r="B34" s="635"/>
      <c r="C34" s="630"/>
      <c r="D34" s="633"/>
      <c r="E34" s="576"/>
      <c r="F34" s="502"/>
      <c r="G34" s="220"/>
      <c r="H34" s="220"/>
      <c r="I34" s="220"/>
      <c r="J34" s="225"/>
      <c r="K34" s="476"/>
      <c r="L34" s="476"/>
      <c r="M34" s="476"/>
      <c r="N34" s="476"/>
      <c r="O34" s="493"/>
      <c r="P34" s="12" t="s">
        <v>336</v>
      </c>
      <c r="Q34" s="190" t="s">
        <v>231</v>
      </c>
      <c r="R34" s="274"/>
      <c r="S34" s="263"/>
      <c r="T34" s="263"/>
      <c r="U34" s="263"/>
      <c r="V34" s="292"/>
      <c r="W34" s="292"/>
      <c r="X34" s="292"/>
      <c r="Y34" s="292"/>
      <c r="Z34" s="292"/>
      <c r="AB34" s="251"/>
      <c r="AC34" s="251"/>
      <c r="AD34" s="251"/>
      <c r="AE34" s="251"/>
      <c r="AF34" s="251"/>
      <c r="AG34" s="45"/>
    </row>
    <row r="35" spans="2:35" ht="15" customHeight="1">
      <c r="B35" s="636"/>
      <c r="C35" s="630"/>
      <c r="D35" s="632" t="s">
        <v>224</v>
      </c>
      <c r="E35" s="461" t="s">
        <v>423</v>
      </c>
      <c r="F35" s="500" t="s">
        <v>424</v>
      </c>
      <c r="G35" s="219"/>
      <c r="H35" s="219"/>
      <c r="I35" s="219"/>
      <c r="J35" s="219"/>
      <c r="K35" s="475" t="s">
        <v>465</v>
      </c>
      <c r="L35" s="475" t="s">
        <v>527</v>
      </c>
      <c r="M35" s="475" t="s">
        <v>526</v>
      </c>
      <c r="N35" s="475" t="s">
        <v>451</v>
      </c>
      <c r="O35" s="492" t="s">
        <v>525</v>
      </c>
      <c r="P35" s="10" t="s">
        <v>337</v>
      </c>
      <c r="Q35" s="190" t="s">
        <v>231</v>
      </c>
      <c r="R35" s="270"/>
      <c r="S35" s="262"/>
      <c r="T35" s="262"/>
      <c r="U35" s="262"/>
      <c r="V35" s="291"/>
      <c r="W35" s="291"/>
      <c r="X35" s="291"/>
      <c r="Y35" s="291"/>
      <c r="Z35" s="291"/>
      <c r="AB35" s="251"/>
      <c r="AC35" s="251"/>
      <c r="AD35" s="251"/>
      <c r="AE35" s="251"/>
      <c r="AF35" s="251"/>
      <c r="AG35" s="45"/>
      <c r="AI35" s="45"/>
    </row>
    <row r="36" spans="2:35" ht="15" customHeight="1">
      <c r="B36" s="637"/>
      <c r="C36" s="630"/>
      <c r="D36" s="633"/>
      <c r="E36" s="566"/>
      <c r="F36" s="501"/>
      <c r="G36" s="219"/>
      <c r="H36" s="219"/>
      <c r="I36" s="219"/>
      <c r="J36" s="219"/>
      <c r="K36" s="476"/>
      <c r="L36" s="476"/>
      <c r="M36" s="476"/>
      <c r="N36" s="476"/>
      <c r="O36" s="493"/>
      <c r="P36" s="10" t="s">
        <v>338</v>
      </c>
      <c r="Q36" s="190" t="s">
        <v>370</v>
      </c>
      <c r="R36" s="270"/>
      <c r="S36" s="262"/>
      <c r="T36" s="262"/>
      <c r="U36" s="262"/>
      <c r="V36" s="291"/>
      <c r="W36" s="291"/>
      <c r="X36" s="291"/>
      <c r="Y36" s="291"/>
      <c r="Z36" s="291"/>
      <c r="AB36" s="251"/>
      <c r="AC36" s="251"/>
      <c r="AD36" s="251"/>
      <c r="AE36" s="251"/>
      <c r="AF36" s="251"/>
      <c r="AG36" s="45"/>
      <c r="AI36" s="45"/>
    </row>
    <row r="37" spans="2:35" ht="15" customHeight="1">
      <c r="B37" s="637"/>
      <c r="C37" s="630"/>
      <c r="D37" s="633"/>
      <c r="E37" s="566"/>
      <c r="F37" s="501"/>
      <c r="G37" s="219"/>
      <c r="H37" s="219"/>
      <c r="I37" s="219"/>
      <c r="J37" s="219"/>
      <c r="K37" s="476"/>
      <c r="L37" s="476"/>
      <c r="M37" s="476"/>
      <c r="N37" s="476"/>
      <c r="O37" s="493"/>
      <c r="P37" s="10" t="s">
        <v>339</v>
      </c>
      <c r="Q37" s="190" t="s">
        <v>370</v>
      </c>
      <c r="R37" s="270"/>
      <c r="S37" s="262"/>
      <c r="T37" s="262"/>
      <c r="U37" s="262"/>
      <c r="V37" s="291"/>
      <c r="W37" s="291"/>
      <c r="X37" s="291"/>
      <c r="Y37" s="291"/>
      <c r="Z37" s="291"/>
      <c r="AB37" s="251"/>
      <c r="AC37" s="251"/>
      <c r="AD37" s="251"/>
      <c r="AE37" s="251"/>
      <c r="AF37" s="251"/>
      <c r="AG37" s="45"/>
      <c r="AI37" s="45"/>
    </row>
    <row r="38" spans="2:35" ht="15" customHeight="1">
      <c r="B38" s="637"/>
      <c r="C38" s="630"/>
      <c r="D38" s="633"/>
      <c r="E38" s="566"/>
      <c r="F38" s="501"/>
      <c r="G38" s="219"/>
      <c r="H38" s="219"/>
      <c r="I38" s="219"/>
      <c r="J38" s="219"/>
      <c r="K38" s="476"/>
      <c r="L38" s="476"/>
      <c r="M38" s="476"/>
      <c r="N38" s="476"/>
      <c r="O38" s="493"/>
      <c r="P38" s="11" t="s">
        <v>340</v>
      </c>
      <c r="Q38" s="190" t="s">
        <v>231</v>
      </c>
      <c r="R38" s="274"/>
      <c r="S38" s="263"/>
      <c r="T38" s="263"/>
      <c r="U38" s="263"/>
      <c r="V38" s="292"/>
      <c r="W38" s="292"/>
      <c r="X38" s="292"/>
      <c r="Y38" s="292"/>
      <c r="Z38" s="292"/>
      <c r="AB38" s="251"/>
      <c r="AC38" s="251"/>
      <c r="AD38" s="251"/>
      <c r="AE38" s="251"/>
      <c r="AF38" s="251"/>
    </row>
    <row r="39" spans="2:35" ht="15" customHeight="1">
      <c r="B39" s="637"/>
      <c r="C39" s="630"/>
      <c r="D39" s="633"/>
      <c r="E39" s="566"/>
      <c r="F39" s="501"/>
      <c r="G39" s="219"/>
      <c r="H39" s="219"/>
      <c r="I39" s="219"/>
      <c r="J39" s="219"/>
      <c r="K39" s="476"/>
      <c r="L39" s="476"/>
      <c r="M39" s="476"/>
      <c r="N39" s="476"/>
      <c r="O39" s="493"/>
      <c r="P39" s="11" t="s">
        <v>341</v>
      </c>
      <c r="Q39" s="190" t="s">
        <v>370</v>
      </c>
      <c r="R39" s="274"/>
      <c r="S39" s="263"/>
      <c r="T39" s="263"/>
      <c r="U39" s="263"/>
      <c r="V39" s="292"/>
      <c r="W39" s="292"/>
      <c r="X39" s="292"/>
      <c r="Y39" s="292"/>
      <c r="Z39" s="292"/>
      <c r="AB39" s="251"/>
      <c r="AC39" s="251"/>
      <c r="AD39" s="251"/>
      <c r="AE39" s="251"/>
      <c r="AF39" s="251"/>
    </row>
    <row r="40" spans="2:35" ht="15" customHeight="1">
      <c r="B40" s="637"/>
      <c r="C40" s="631"/>
      <c r="D40" s="633"/>
      <c r="E40" s="566"/>
      <c r="F40" s="551"/>
      <c r="G40" s="219"/>
      <c r="H40" s="219"/>
      <c r="I40" s="219"/>
      <c r="J40" s="219"/>
      <c r="K40" s="476"/>
      <c r="L40" s="476"/>
      <c r="M40" s="476"/>
      <c r="N40" s="476"/>
      <c r="O40" s="493"/>
      <c r="P40" s="11" t="s">
        <v>342</v>
      </c>
      <c r="Q40" s="190" t="s">
        <v>231</v>
      </c>
      <c r="R40" s="274"/>
      <c r="S40" s="263"/>
      <c r="T40" s="263"/>
      <c r="U40" s="263"/>
      <c r="V40" s="292"/>
      <c r="W40" s="292"/>
      <c r="X40" s="292"/>
      <c r="Y40" s="292"/>
      <c r="Z40" s="292"/>
      <c r="AB40" s="251"/>
      <c r="AC40" s="251"/>
      <c r="AD40" s="251"/>
      <c r="AE40" s="251"/>
      <c r="AF40" s="251"/>
      <c r="AG40" s="45"/>
    </row>
    <row r="41" spans="2:35" ht="15" customHeight="1" thickBot="1">
      <c r="B41" s="638"/>
      <c r="C41" s="123"/>
      <c r="D41" s="14"/>
      <c r="E41" s="221"/>
      <c r="F41" s="222"/>
      <c r="G41" s="222"/>
      <c r="H41" s="222"/>
      <c r="I41" s="223"/>
      <c r="J41" s="224"/>
      <c r="K41" s="20"/>
      <c r="L41" s="20"/>
      <c r="M41" s="18"/>
      <c r="N41" s="18"/>
      <c r="O41" s="19"/>
      <c r="P41" s="19"/>
      <c r="Q41" s="21"/>
      <c r="R41" s="199"/>
      <c r="S41" s="19"/>
      <c r="T41" s="19"/>
      <c r="U41" s="19"/>
      <c r="V41" s="19"/>
      <c r="W41" s="19"/>
      <c r="X41" s="19"/>
      <c r="Y41" s="19"/>
      <c r="Z41" s="19"/>
      <c r="AB41" s="251"/>
      <c r="AC41" s="251"/>
      <c r="AD41" s="251"/>
      <c r="AE41" s="251"/>
      <c r="AF41" s="251"/>
    </row>
    <row r="42" spans="2:35">
      <c r="B42" s="22"/>
      <c r="C42" s="22"/>
      <c r="D42" s="23"/>
      <c r="E42" s="24"/>
      <c r="F42" s="24"/>
      <c r="G42" s="24"/>
      <c r="H42" s="24"/>
      <c r="I42" s="25"/>
      <c r="J42" s="26"/>
      <c r="K42" s="26"/>
      <c r="L42" s="26"/>
      <c r="M42" s="26"/>
      <c r="N42" s="26"/>
      <c r="O42" s="27"/>
      <c r="P42" s="28"/>
      <c r="Q42" s="7"/>
    </row>
    <row r="43" spans="2:35" ht="15" customHeight="1">
      <c r="B43" s="29"/>
      <c r="C43" s="29"/>
      <c r="D43" s="29"/>
      <c r="E43" s="29"/>
      <c r="F43" s="29"/>
      <c r="G43" s="29"/>
      <c r="H43" s="29"/>
      <c r="I43" s="29"/>
      <c r="J43" s="30"/>
      <c r="K43" s="30"/>
      <c r="L43" s="30"/>
      <c r="M43" s="488" t="s">
        <v>12</v>
      </c>
      <c r="N43" s="488"/>
      <c r="O43" s="489"/>
      <c r="P43" s="477" t="s">
        <v>18</v>
      </c>
      <c r="R43" s="469"/>
      <c r="S43" s="469"/>
      <c r="T43" s="469"/>
      <c r="U43" s="469"/>
      <c r="V43" s="469"/>
      <c r="W43" s="469"/>
      <c r="X43" s="469"/>
      <c r="Y43" s="469"/>
      <c r="Z43" s="470"/>
    </row>
    <row r="44" spans="2:35">
      <c r="B44" s="29"/>
      <c r="C44" s="29"/>
      <c r="D44" s="29"/>
      <c r="E44" s="29"/>
      <c r="F44" s="29"/>
      <c r="G44" s="29"/>
      <c r="H44" s="29"/>
      <c r="I44" s="29"/>
      <c r="J44" s="29"/>
      <c r="K44" s="29"/>
      <c r="L44" s="29"/>
      <c r="M44" s="488"/>
      <c r="N44" s="488"/>
      <c r="O44" s="489"/>
      <c r="P44" s="478"/>
      <c r="R44" s="471"/>
      <c r="S44" s="471"/>
      <c r="T44" s="471"/>
      <c r="U44" s="471"/>
      <c r="V44" s="471"/>
      <c r="W44" s="471"/>
      <c r="X44" s="471"/>
      <c r="Y44" s="471"/>
      <c r="Z44" s="472"/>
    </row>
    <row r="45" spans="2:35">
      <c r="B45" s="29"/>
      <c r="C45" s="29"/>
      <c r="D45" s="29"/>
      <c r="E45" s="29"/>
      <c r="F45" s="29"/>
      <c r="G45" s="29"/>
      <c r="H45" s="29"/>
      <c r="I45" s="29"/>
      <c r="J45" s="29"/>
      <c r="K45" s="29"/>
      <c r="L45" s="29"/>
      <c r="M45" s="32"/>
      <c r="N45" s="32"/>
      <c r="O45" s="32"/>
      <c r="P45" s="32"/>
      <c r="R45" s="43"/>
      <c r="S45" s="43"/>
      <c r="T45" s="43"/>
      <c r="U45" s="43"/>
      <c r="V45" s="43"/>
      <c r="W45" s="43"/>
      <c r="X45" s="43"/>
      <c r="Y45" s="43"/>
      <c r="Z45" s="43"/>
    </row>
    <row r="46" spans="2:35">
      <c r="B46" s="29"/>
      <c r="C46" s="29"/>
      <c r="D46" s="29"/>
      <c r="E46" s="29"/>
      <c r="F46" s="29"/>
      <c r="G46" s="29"/>
      <c r="H46" s="29"/>
      <c r="I46" s="29"/>
      <c r="J46" s="29"/>
      <c r="K46" s="29"/>
      <c r="L46" s="29"/>
      <c r="M46" s="32"/>
      <c r="N46" s="32"/>
      <c r="O46" s="593" t="s">
        <v>24</v>
      </c>
      <c r="P46" s="94" t="s">
        <v>81</v>
      </c>
      <c r="Q46" s="89" t="s">
        <v>7</v>
      </c>
      <c r="R46" s="97" t="s">
        <v>90</v>
      </c>
      <c r="S46" s="97" t="s">
        <v>19</v>
      </c>
      <c r="T46" s="97" t="s">
        <v>91</v>
      </c>
      <c r="U46" s="97" t="s">
        <v>92</v>
      </c>
      <c r="V46" s="97" t="s">
        <v>20</v>
      </c>
      <c r="W46" s="97" t="s">
        <v>93</v>
      </c>
      <c r="X46" s="97" t="s">
        <v>94</v>
      </c>
      <c r="Y46" s="97" t="s">
        <v>95</v>
      </c>
      <c r="Z46" s="97" t="s">
        <v>96</v>
      </c>
    </row>
    <row r="47" spans="2:35">
      <c r="B47" s="29"/>
      <c r="C47" s="29"/>
      <c r="D47" s="29"/>
      <c r="E47" s="29"/>
      <c r="F47" s="29"/>
      <c r="G47" s="29"/>
      <c r="H47" s="29"/>
      <c r="I47" s="29"/>
      <c r="J47" s="29"/>
      <c r="K47" s="29"/>
      <c r="L47" s="29"/>
      <c r="M47" s="32"/>
      <c r="N47" s="32"/>
      <c r="O47" s="594"/>
      <c r="P47" s="93" t="s">
        <v>544</v>
      </c>
      <c r="Q47" s="44" t="s">
        <v>11</v>
      </c>
      <c r="R47" s="315">
        <f>R16*$AE$16</f>
        <v>0</v>
      </c>
      <c r="S47" s="315">
        <f t="shared" ref="S47:Z47" si="0">S16*$AE$16</f>
        <v>0</v>
      </c>
      <c r="T47" s="315">
        <f t="shared" si="0"/>
        <v>0</v>
      </c>
      <c r="U47" s="315">
        <f t="shared" si="0"/>
        <v>0</v>
      </c>
      <c r="V47" s="315">
        <f t="shared" si="0"/>
        <v>0</v>
      </c>
      <c r="W47" s="315">
        <f t="shared" si="0"/>
        <v>0</v>
      </c>
      <c r="X47" s="315">
        <f t="shared" si="0"/>
        <v>0</v>
      </c>
      <c r="Y47" s="315">
        <f t="shared" si="0"/>
        <v>0</v>
      </c>
      <c r="Z47" s="315">
        <f t="shared" si="0"/>
        <v>0</v>
      </c>
    </row>
    <row r="48" spans="2:35">
      <c r="B48" s="29"/>
      <c r="C48" s="29"/>
      <c r="D48" s="29"/>
      <c r="E48" s="29"/>
      <c r="F48" s="29"/>
      <c r="G48" s="29"/>
      <c r="H48" s="29"/>
      <c r="I48" s="29"/>
      <c r="J48" s="29"/>
      <c r="K48" s="29"/>
      <c r="L48" s="29"/>
      <c r="M48" s="32"/>
      <c r="N48" s="32"/>
      <c r="O48" s="594"/>
      <c r="P48" s="93" t="s">
        <v>545</v>
      </c>
      <c r="Q48" s="44" t="s">
        <v>11</v>
      </c>
      <c r="R48" s="47">
        <f>R18*$AE$18</f>
        <v>0</v>
      </c>
      <c r="S48" s="47">
        <f t="shared" ref="S48:Z48" si="1">S18*$AE$18</f>
        <v>0</v>
      </c>
      <c r="T48" s="47">
        <f t="shared" si="1"/>
        <v>0</v>
      </c>
      <c r="U48" s="47">
        <f t="shared" si="1"/>
        <v>0</v>
      </c>
      <c r="V48" s="47">
        <f t="shared" si="1"/>
        <v>0</v>
      </c>
      <c r="W48" s="47">
        <f t="shared" si="1"/>
        <v>0</v>
      </c>
      <c r="X48" s="47">
        <f t="shared" si="1"/>
        <v>0</v>
      </c>
      <c r="Y48" s="47">
        <f t="shared" si="1"/>
        <v>0</v>
      </c>
      <c r="Z48" s="47">
        <f t="shared" si="1"/>
        <v>0</v>
      </c>
    </row>
    <row r="49" spans="2:26">
      <c r="B49" s="29"/>
      <c r="C49" s="29"/>
      <c r="D49" s="29"/>
      <c r="E49" s="29"/>
      <c r="F49" s="29"/>
      <c r="G49" s="29"/>
      <c r="H49" s="29"/>
      <c r="I49" s="29"/>
      <c r="J49" s="29"/>
      <c r="K49" s="29"/>
      <c r="L49" s="29"/>
      <c r="M49" s="32"/>
      <c r="N49" s="32"/>
      <c r="O49" s="594"/>
      <c r="P49" s="95" t="s">
        <v>547</v>
      </c>
      <c r="Q49" s="88" t="s">
        <v>27</v>
      </c>
      <c r="R49" s="47">
        <f>R16*$AF$16</f>
        <v>0</v>
      </c>
      <c r="S49" s="47">
        <f t="shared" ref="S49:Z49" si="2">S16*$AF$16</f>
        <v>0</v>
      </c>
      <c r="T49" s="47">
        <f t="shared" si="2"/>
        <v>0</v>
      </c>
      <c r="U49" s="47">
        <f t="shared" si="2"/>
        <v>0</v>
      </c>
      <c r="V49" s="47">
        <f t="shared" si="2"/>
        <v>0</v>
      </c>
      <c r="W49" s="47">
        <f t="shared" si="2"/>
        <v>0</v>
      </c>
      <c r="X49" s="47">
        <f t="shared" si="2"/>
        <v>0</v>
      </c>
      <c r="Y49" s="47">
        <f t="shared" si="2"/>
        <v>0</v>
      </c>
      <c r="Z49" s="47">
        <f t="shared" si="2"/>
        <v>0</v>
      </c>
    </row>
    <row r="50" spans="2:26">
      <c r="B50" s="29"/>
      <c r="C50" s="29"/>
      <c r="D50" s="29"/>
      <c r="E50" s="29"/>
      <c r="F50" s="29"/>
      <c r="G50" s="29"/>
      <c r="H50" s="29"/>
      <c r="I50" s="29"/>
      <c r="J50" s="29"/>
      <c r="K50" s="29"/>
      <c r="L50" s="29"/>
      <c r="M50" s="32"/>
      <c r="N50" s="32"/>
      <c r="O50" s="595"/>
      <c r="P50" s="95" t="s">
        <v>546</v>
      </c>
      <c r="Q50" s="88" t="s">
        <v>27</v>
      </c>
      <c r="R50" s="47">
        <f>R18*$AF$18</f>
        <v>0</v>
      </c>
      <c r="S50" s="47">
        <f t="shared" ref="S50:Z50" si="3">S18*$AF$18</f>
        <v>0</v>
      </c>
      <c r="T50" s="47">
        <f t="shared" si="3"/>
        <v>0</v>
      </c>
      <c r="U50" s="47">
        <f t="shared" si="3"/>
        <v>0</v>
      </c>
      <c r="V50" s="47">
        <f t="shared" si="3"/>
        <v>0</v>
      </c>
      <c r="W50" s="47">
        <f t="shared" si="3"/>
        <v>0</v>
      </c>
      <c r="X50" s="47">
        <f t="shared" si="3"/>
        <v>0</v>
      </c>
      <c r="Y50" s="47">
        <f t="shared" si="3"/>
        <v>0</v>
      </c>
      <c r="Z50" s="47">
        <f t="shared" si="3"/>
        <v>0</v>
      </c>
    </row>
  </sheetData>
  <sheetProtection insertColumns="0" insertRows="0" autoFilter="0"/>
  <mergeCells count="69">
    <mergeCell ref="D3:Q3"/>
    <mergeCell ref="D4:Q4"/>
    <mergeCell ref="E5:O5"/>
    <mergeCell ref="P5:Q5"/>
    <mergeCell ref="N7:N9"/>
    <mergeCell ref="O7:O9"/>
    <mergeCell ref="P7:P9"/>
    <mergeCell ref="Q7:Q9"/>
    <mergeCell ref="M8:M9"/>
    <mergeCell ref="J15:J20"/>
    <mergeCell ref="D21:D27"/>
    <mergeCell ref="E21:E27"/>
    <mergeCell ref="R7:Z8"/>
    <mergeCell ref="B7:B9"/>
    <mergeCell ref="C7:C9"/>
    <mergeCell ref="D7:D9"/>
    <mergeCell ref="E7:J7"/>
    <mergeCell ref="K7:M7"/>
    <mergeCell ref="K8:K9"/>
    <mergeCell ref="L8:L9"/>
    <mergeCell ref="E8:F8"/>
    <mergeCell ref="I21:I27"/>
    <mergeCell ref="F10:F14"/>
    <mergeCell ref="F15:F20"/>
    <mergeCell ref="F21:F27"/>
    <mergeCell ref="B10:B41"/>
    <mergeCell ref="D10:D14"/>
    <mergeCell ref="E10:E14"/>
    <mergeCell ref="I10:I14"/>
    <mergeCell ref="C10:C20"/>
    <mergeCell ref="D15:D20"/>
    <mergeCell ref="E15:E20"/>
    <mergeCell ref="I15:I20"/>
    <mergeCell ref="F28:F34"/>
    <mergeCell ref="F35:F40"/>
    <mergeCell ref="E35:E40"/>
    <mergeCell ref="L15:L20"/>
    <mergeCell ref="M15:M20"/>
    <mergeCell ref="N15:N20"/>
    <mergeCell ref="O15:O20"/>
    <mergeCell ref="K10:K14"/>
    <mergeCell ref="L10:L14"/>
    <mergeCell ref="M10:M14"/>
    <mergeCell ref="N10:N14"/>
    <mergeCell ref="O10:O14"/>
    <mergeCell ref="K15:K20"/>
    <mergeCell ref="R43:Z44"/>
    <mergeCell ref="O46:O50"/>
    <mergeCell ref="M43:O44"/>
    <mergeCell ref="P43:P44"/>
    <mergeCell ref="L35:L40"/>
    <mergeCell ref="M35:M40"/>
    <mergeCell ref="N35:N40"/>
    <mergeCell ref="O35:O40"/>
    <mergeCell ref="N28:N34"/>
    <mergeCell ref="O28:O34"/>
    <mergeCell ref="C21:C40"/>
    <mergeCell ref="D28:D34"/>
    <mergeCell ref="E28:E34"/>
    <mergeCell ref="K21:K27"/>
    <mergeCell ref="L21:L27"/>
    <mergeCell ref="M21:M27"/>
    <mergeCell ref="N21:N27"/>
    <mergeCell ref="O21:O27"/>
    <mergeCell ref="K28:K34"/>
    <mergeCell ref="L28:L34"/>
    <mergeCell ref="M28:M34"/>
    <mergeCell ref="D35:D40"/>
    <mergeCell ref="K35:K40"/>
  </mergeCells>
  <phoneticPr fontId="34" type="noConversion"/>
  <conditionalFormatting sqref="R10:Z15 S16:Z16 R17:Z20">
    <cfRule type="cellIs" dxfId="44" priority="7" operator="equal">
      <formula>3</formula>
    </cfRule>
    <cfRule type="cellIs" dxfId="43" priority="8" operator="equal">
      <formula>2</formula>
    </cfRule>
    <cfRule type="cellIs" dxfId="42" priority="9" operator="equal">
      <formula>1</formula>
    </cfRule>
  </conditionalFormatting>
  <pageMargins left="0.70866141732283505" right="0.70866141732283505" top="0.74803149606299202" bottom="0.74803149606299202" header="0.31496062992126" footer="0.31496062992126"/>
  <pageSetup paperSize="8" scale="1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97B5F-E8BF-41A1-ACBF-36C55227C7B7}">
  <sheetPr>
    <tabColor rgb="FF245E9B"/>
  </sheetPr>
  <dimension ref="B3:AH47"/>
  <sheetViews>
    <sheetView showGridLines="0" view="pageBreakPreview" zoomScale="30" zoomScaleNormal="40" zoomScaleSheetLayoutView="30" workbookViewId="0">
      <pane ySplit="9" topLeftCell="A10" activePane="bottomLeft" state="frozen"/>
      <selection pane="bottomLeft" sqref="A1:Z47"/>
    </sheetView>
  </sheetViews>
  <sheetFormatPr baseColWidth="10" defaultColWidth="9.28515625" defaultRowHeight="15"/>
  <cols>
    <col min="1" max="1" width="5.7109375" customWidth="1"/>
    <col min="2" max="3" width="55.5703125" customWidth="1"/>
    <col min="4" max="4" width="94.7109375" customWidth="1"/>
    <col min="5" max="8" width="18.5703125" customWidth="1"/>
    <col min="9" max="9" width="33.42578125" customWidth="1"/>
    <col min="10" max="11" width="21.28515625" customWidth="1"/>
    <col min="12" max="12" width="30.5703125" customWidth="1"/>
    <col min="13" max="13" width="36.5703125" customWidth="1"/>
    <col min="14" max="14" width="21.28515625" customWidth="1"/>
    <col min="15" max="15" width="28.5703125" customWidth="1"/>
    <col min="16" max="16" width="72.28515625" customWidth="1"/>
    <col min="17" max="17" width="19.28515625" bestFit="1" customWidth="1"/>
    <col min="18" max="18" width="12" customWidth="1"/>
    <col min="19" max="19" width="12.5703125" customWidth="1"/>
    <col min="20" max="21" width="12" customWidth="1"/>
    <col min="22" max="26" width="13" customWidth="1"/>
    <col min="27" max="27" width="3.42578125" customWidth="1"/>
    <col min="28" max="28" width="18.42578125" hidden="1" customWidth="1"/>
    <col min="29" max="29" width="28.28515625" hidden="1" customWidth="1"/>
    <col min="30" max="30" width="43.7109375" hidden="1" customWidth="1"/>
    <col min="31" max="32" width="18.42578125" hidden="1" customWidth="1"/>
    <col min="33" max="38" width="0" hidden="1" customWidth="1"/>
  </cols>
  <sheetData>
    <row r="3" spans="2:32" ht="35.25" customHeight="1">
      <c r="D3" s="403" t="s">
        <v>85</v>
      </c>
      <c r="E3" s="404"/>
      <c r="F3" s="404"/>
      <c r="G3" s="404"/>
      <c r="H3" s="404"/>
      <c r="I3" s="404"/>
      <c r="J3" s="404"/>
      <c r="K3" s="404"/>
      <c r="L3" s="404"/>
      <c r="M3" s="404"/>
      <c r="N3" s="404"/>
      <c r="O3" s="404"/>
      <c r="P3" s="404"/>
      <c r="Q3" s="518"/>
    </row>
    <row r="4" spans="2:32" ht="21.75" customHeight="1">
      <c r="D4" s="406" t="s">
        <v>3</v>
      </c>
      <c r="E4" s="407"/>
      <c r="F4" s="407"/>
      <c r="G4" s="407"/>
      <c r="H4" s="407"/>
      <c r="I4" s="407"/>
      <c r="J4" s="407"/>
      <c r="K4" s="407"/>
      <c r="L4" s="407"/>
      <c r="M4" s="407"/>
      <c r="N4" s="407"/>
      <c r="O4" s="407"/>
      <c r="P4" s="407"/>
      <c r="Q4" s="519"/>
    </row>
    <row r="5" spans="2:32" ht="15.75">
      <c r="B5" s="3"/>
      <c r="C5" s="3"/>
      <c r="D5" s="402" t="s">
        <v>759</v>
      </c>
      <c r="E5" s="520"/>
      <c r="F5" s="520"/>
      <c r="G5" s="520"/>
      <c r="H5" s="520"/>
      <c r="I5" s="520"/>
      <c r="J5" s="520"/>
      <c r="K5" s="520"/>
      <c r="L5" s="520"/>
      <c r="M5" s="520"/>
      <c r="N5" s="520"/>
      <c r="O5" s="520"/>
      <c r="P5" s="521"/>
      <c r="Q5" s="522"/>
    </row>
    <row r="6" spans="2:32" ht="15.75" thickBot="1"/>
    <row r="7" spans="2:32" ht="38.1" customHeight="1">
      <c r="B7" s="439" t="s">
        <v>4</v>
      </c>
      <c r="C7" s="439" t="s">
        <v>21</v>
      </c>
      <c r="D7" s="623" t="s">
        <v>5</v>
      </c>
      <c r="E7" s="523" t="s">
        <v>22</v>
      </c>
      <c r="F7" s="524"/>
      <c r="G7" s="524"/>
      <c r="H7" s="524"/>
      <c r="I7" s="524"/>
      <c r="J7" s="525"/>
      <c r="K7" s="526" t="s">
        <v>14</v>
      </c>
      <c r="L7" s="527"/>
      <c r="M7" s="528"/>
      <c r="N7" s="495" t="s">
        <v>16</v>
      </c>
      <c r="O7" s="498" t="s">
        <v>15</v>
      </c>
      <c r="P7" s="439" t="s">
        <v>6</v>
      </c>
      <c r="Q7" s="590" t="s">
        <v>7</v>
      </c>
      <c r="R7" s="450" t="s">
        <v>381</v>
      </c>
      <c r="S7" s="451"/>
      <c r="T7" s="451"/>
      <c r="U7" s="451"/>
      <c r="V7" s="451"/>
      <c r="W7" s="451"/>
      <c r="X7" s="451"/>
      <c r="Y7" s="451"/>
      <c r="Z7" s="452"/>
    </row>
    <row r="8" spans="2:32" ht="20.25" customHeight="1">
      <c r="B8" s="440"/>
      <c r="C8" s="440"/>
      <c r="D8" s="624"/>
      <c r="E8" s="529" t="s">
        <v>8</v>
      </c>
      <c r="F8" s="530"/>
      <c r="G8" s="128"/>
      <c r="H8" s="122"/>
      <c r="I8" s="122"/>
      <c r="J8" s="130"/>
      <c r="K8" s="529" t="s">
        <v>100</v>
      </c>
      <c r="L8" s="532" t="s">
        <v>23</v>
      </c>
      <c r="M8" s="534" t="s">
        <v>101</v>
      </c>
      <c r="N8" s="496"/>
      <c r="O8" s="499"/>
      <c r="P8" s="440"/>
      <c r="Q8" s="591"/>
      <c r="R8" s="453"/>
      <c r="S8" s="454"/>
      <c r="T8" s="454"/>
      <c r="U8" s="454"/>
      <c r="V8" s="454"/>
      <c r="W8" s="454"/>
      <c r="X8" s="454"/>
      <c r="Y8" s="454"/>
      <c r="Z8" s="455"/>
      <c r="AB8" s="1" t="s">
        <v>436</v>
      </c>
    </row>
    <row r="9" spans="2:32" s="2" customFormat="1" ht="66" customHeight="1" thickBot="1">
      <c r="B9" s="440"/>
      <c r="C9" s="440"/>
      <c r="D9" s="624"/>
      <c r="E9" s="216" t="s">
        <v>103</v>
      </c>
      <c r="F9" s="129" t="s">
        <v>104</v>
      </c>
      <c r="G9" s="129" t="s">
        <v>9</v>
      </c>
      <c r="H9" s="126" t="s">
        <v>102</v>
      </c>
      <c r="I9" s="126" t="s">
        <v>13</v>
      </c>
      <c r="J9" s="131" t="s">
        <v>10</v>
      </c>
      <c r="K9" s="531"/>
      <c r="L9" s="533"/>
      <c r="M9" s="535"/>
      <c r="N9" s="496"/>
      <c r="O9" s="499"/>
      <c r="P9" s="440"/>
      <c r="Q9" s="592"/>
      <c r="R9" s="237">
        <v>2022</v>
      </c>
      <c r="S9" s="34" t="s">
        <v>19</v>
      </c>
      <c r="T9" s="5">
        <v>2024</v>
      </c>
      <c r="U9" s="5" t="s">
        <v>92</v>
      </c>
      <c r="V9" s="34">
        <v>2026</v>
      </c>
      <c r="W9" s="34">
        <v>2027</v>
      </c>
      <c r="X9" s="5" t="s">
        <v>94</v>
      </c>
      <c r="Y9" s="34">
        <v>2029</v>
      </c>
      <c r="Z9" s="35">
        <v>2030</v>
      </c>
      <c r="AB9" s="249" t="s">
        <v>440</v>
      </c>
      <c r="AC9" s="249" t="s">
        <v>441</v>
      </c>
      <c r="AD9" s="249" t="s">
        <v>437</v>
      </c>
      <c r="AE9" s="249" t="s">
        <v>438</v>
      </c>
      <c r="AF9" s="249" t="s">
        <v>439</v>
      </c>
    </row>
    <row r="10" spans="2:32" ht="15" customHeight="1">
      <c r="B10" s="648" t="s">
        <v>174</v>
      </c>
      <c r="C10" s="657" t="s">
        <v>164</v>
      </c>
      <c r="D10" s="606" t="s">
        <v>225</v>
      </c>
      <c r="E10" s="227"/>
      <c r="F10" s="219"/>
      <c r="G10" s="500" t="s">
        <v>425</v>
      </c>
      <c r="H10" s="219"/>
      <c r="I10" s="219"/>
      <c r="J10" s="232"/>
      <c r="K10" s="467" t="s">
        <v>472</v>
      </c>
      <c r="L10" s="467" t="s">
        <v>473</v>
      </c>
      <c r="M10" s="467" t="s">
        <v>528</v>
      </c>
      <c r="N10" s="467" t="s">
        <v>451</v>
      </c>
      <c r="O10" s="480"/>
      <c r="P10" s="187" t="s">
        <v>343</v>
      </c>
      <c r="Q10" s="178" t="s">
        <v>231</v>
      </c>
      <c r="R10" s="238"/>
      <c r="S10" s="107"/>
      <c r="T10" s="107"/>
      <c r="U10" s="107"/>
      <c r="V10" s="107"/>
      <c r="W10" s="107"/>
      <c r="X10" s="107"/>
      <c r="Y10" s="107"/>
      <c r="Z10" s="280"/>
      <c r="AB10" s="244"/>
      <c r="AC10" s="244"/>
      <c r="AD10" s="244"/>
      <c r="AE10" s="244"/>
      <c r="AF10" s="244"/>
    </row>
    <row r="11" spans="2:32" ht="15" customHeight="1">
      <c r="B11" s="649"/>
      <c r="C11" s="658"/>
      <c r="D11" s="607"/>
      <c r="E11" s="227"/>
      <c r="F11" s="219"/>
      <c r="G11" s="501"/>
      <c r="H11" s="219"/>
      <c r="I11" s="219"/>
      <c r="J11" s="232"/>
      <c r="K11" s="468"/>
      <c r="L11" s="468"/>
      <c r="M11" s="468"/>
      <c r="N11" s="468"/>
      <c r="O11" s="481"/>
      <c r="P11" s="185" t="s">
        <v>344</v>
      </c>
      <c r="Q11" s="190" t="s">
        <v>231</v>
      </c>
      <c r="R11" s="239"/>
      <c r="S11" s="109"/>
      <c r="T11" s="109"/>
      <c r="U11" s="109"/>
      <c r="V11" s="109"/>
      <c r="W11" s="109"/>
      <c r="X11" s="109"/>
      <c r="Y11" s="109"/>
      <c r="Z11" s="208"/>
      <c r="AB11" s="251"/>
      <c r="AC11" s="251"/>
      <c r="AD11" s="251"/>
      <c r="AE11" s="251"/>
      <c r="AF11" s="251"/>
    </row>
    <row r="12" spans="2:32" ht="15" customHeight="1">
      <c r="B12" s="650"/>
      <c r="C12" s="658"/>
      <c r="D12" s="607"/>
      <c r="E12" s="227"/>
      <c r="F12" s="219"/>
      <c r="G12" s="501"/>
      <c r="H12" s="219"/>
      <c r="I12" s="219"/>
      <c r="J12" s="232"/>
      <c r="K12" s="468"/>
      <c r="L12" s="468"/>
      <c r="M12" s="468"/>
      <c r="N12" s="468"/>
      <c r="O12" s="481"/>
      <c r="P12" s="188" t="s">
        <v>345</v>
      </c>
      <c r="Q12" s="190" t="s">
        <v>231</v>
      </c>
      <c r="R12" s="239"/>
      <c r="S12" s="109"/>
      <c r="T12" s="109"/>
      <c r="U12" s="109"/>
      <c r="V12" s="109"/>
      <c r="W12" s="109"/>
      <c r="X12" s="109"/>
      <c r="Y12" s="109"/>
      <c r="Z12" s="208"/>
      <c r="AB12" s="251"/>
      <c r="AC12" s="251"/>
      <c r="AD12" s="251"/>
      <c r="AE12" s="251"/>
      <c r="AF12" s="251"/>
    </row>
    <row r="13" spans="2:32" ht="15.75" customHeight="1" thickBot="1">
      <c r="B13" s="650"/>
      <c r="C13" s="658"/>
      <c r="D13" s="607"/>
      <c r="E13" s="227"/>
      <c r="F13" s="219"/>
      <c r="G13" s="502"/>
      <c r="H13" s="220"/>
      <c r="I13" s="220"/>
      <c r="J13" s="232"/>
      <c r="K13" s="468"/>
      <c r="L13" s="468"/>
      <c r="M13" s="468"/>
      <c r="N13" s="468"/>
      <c r="O13" s="481"/>
      <c r="P13" s="42" t="s">
        <v>346</v>
      </c>
      <c r="Q13" s="196" t="s">
        <v>231</v>
      </c>
      <c r="R13" s="195"/>
      <c r="S13" s="113"/>
      <c r="T13" s="113"/>
      <c r="U13" s="113"/>
      <c r="V13" s="113"/>
      <c r="W13" s="113"/>
      <c r="X13" s="113"/>
      <c r="Y13" s="113"/>
      <c r="Z13" s="281"/>
      <c r="AB13" s="251"/>
      <c r="AC13" s="251"/>
      <c r="AD13" s="251"/>
      <c r="AE13" s="251"/>
      <c r="AF13" s="251"/>
    </row>
    <row r="14" spans="2:32" ht="15" customHeight="1">
      <c r="B14" s="650"/>
      <c r="C14" s="659" t="s">
        <v>116</v>
      </c>
      <c r="D14" s="606" t="s">
        <v>226</v>
      </c>
      <c r="E14" s="461" t="s">
        <v>426</v>
      </c>
      <c r="F14" s="500" t="s">
        <v>427</v>
      </c>
      <c r="G14" s="219"/>
      <c r="H14" s="219"/>
      <c r="I14" s="219"/>
      <c r="J14" s="464" t="s">
        <v>428</v>
      </c>
      <c r="K14" s="467" t="s">
        <v>472</v>
      </c>
      <c r="L14" s="467" t="s">
        <v>473</v>
      </c>
      <c r="M14" s="467" t="s">
        <v>529</v>
      </c>
      <c r="N14" s="467" t="s">
        <v>451</v>
      </c>
      <c r="O14" s="480"/>
      <c r="P14" s="40" t="s">
        <v>347</v>
      </c>
      <c r="Q14" s="192" t="s">
        <v>231</v>
      </c>
      <c r="R14" s="239"/>
      <c r="S14" s="109"/>
      <c r="T14" s="109"/>
      <c r="U14" s="109"/>
      <c r="V14" s="109"/>
      <c r="W14" s="109"/>
      <c r="X14" s="109"/>
      <c r="Y14" s="109"/>
      <c r="Z14" s="208"/>
      <c r="AB14" s="251"/>
      <c r="AC14" s="251"/>
      <c r="AD14" s="251"/>
      <c r="AE14" s="251"/>
      <c r="AF14" s="251"/>
    </row>
    <row r="15" spans="2:32" ht="15" customHeight="1">
      <c r="B15" s="650"/>
      <c r="C15" s="660"/>
      <c r="D15" s="607"/>
      <c r="E15" s="566"/>
      <c r="F15" s="501"/>
      <c r="G15" s="219"/>
      <c r="H15" s="219"/>
      <c r="I15" s="219"/>
      <c r="J15" s="567"/>
      <c r="K15" s="468"/>
      <c r="L15" s="468"/>
      <c r="M15" s="468"/>
      <c r="N15" s="468"/>
      <c r="O15" s="481"/>
      <c r="P15" s="40" t="s">
        <v>348</v>
      </c>
      <c r="Q15" s="190" t="s">
        <v>370</v>
      </c>
      <c r="R15" s="239"/>
      <c r="S15" s="109"/>
      <c r="T15" s="109"/>
      <c r="U15" s="109"/>
      <c r="V15" s="109"/>
      <c r="W15" s="109"/>
      <c r="X15" s="109"/>
      <c r="Y15" s="109"/>
      <c r="Z15" s="208"/>
      <c r="AB15" s="251"/>
      <c r="AC15" s="251"/>
      <c r="AD15" s="251"/>
      <c r="AE15" s="251"/>
      <c r="AF15" s="251"/>
    </row>
    <row r="16" spans="2:32" ht="15" customHeight="1">
      <c r="B16" s="650"/>
      <c r="C16" s="660"/>
      <c r="D16" s="607"/>
      <c r="E16" s="566"/>
      <c r="F16" s="501"/>
      <c r="G16" s="219"/>
      <c r="H16" s="219"/>
      <c r="I16" s="219"/>
      <c r="J16" s="567"/>
      <c r="K16" s="468"/>
      <c r="L16" s="468"/>
      <c r="M16" s="468"/>
      <c r="N16" s="468"/>
      <c r="O16" s="481"/>
      <c r="P16" s="40" t="s">
        <v>349</v>
      </c>
      <c r="Q16" s="190" t="s">
        <v>231</v>
      </c>
      <c r="R16" s="283"/>
      <c r="S16" s="258"/>
      <c r="T16" s="258"/>
      <c r="U16" s="258"/>
      <c r="V16" s="258"/>
      <c r="W16" s="258"/>
      <c r="X16" s="258"/>
      <c r="Y16" s="258"/>
      <c r="Z16" s="273"/>
      <c r="AB16" s="251"/>
      <c r="AC16" s="251"/>
      <c r="AD16" s="251"/>
      <c r="AE16" s="251"/>
      <c r="AF16" s="251"/>
    </row>
    <row r="17" spans="2:34" ht="15" customHeight="1">
      <c r="B17" s="650"/>
      <c r="C17" s="660"/>
      <c r="D17" s="607"/>
      <c r="E17" s="566"/>
      <c r="F17" s="502"/>
      <c r="G17" s="220"/>
      <c r="H17" s="220"/>
      <c r="I17" s="220"/>
      <c r="J17" s="580"/>
      <c r="K17" s="468"/>
      <c r="L17" s="468"/>
      <c r="M17" s="468"/>
      <c r="N17" s="468"/>
      <c r="O17" s="481"/>
      <c r="P17" s="42" t="s">
        <v>350</v>
      </c>
      <c r="Q17" s="191" t="s">
        <v>370</v>
      </c>
      <c r="R17" s="266"/>
      <c r="S17" s="261"/>
      <c r="T17" s="261"/>
      <c r="U17" s="261"/>
      <c r="V17" s="261"/>
      <c r="W17" s="261"/>
      <c r="X17" s="261"/>
      <c r="Y17" s="261"/>
      <c r="Z17" s="284"/>
      <c r="AB17" s="251"/>
      <c r="AC17" s="251"/>
      <c r="AD17" s="251"/>
      <c r="AE17" s="251"/>
      <c r="AF17" s="251"/>
    </row>
    <row r="18" spans="2:34" ht="33" customHeight="1">
      <c r="B18" s="650"/>
      <c r="C18" s="660"/>
      <c r="D18" s="459" t="s">
        <v>227</v>
      </c>
      <c r="E18" s="461" t="s">
        <v>429</v>
      </c>
      <c r="F18" s="500" t="s">
        <v>430</v>
      </c>
      <c r="G18" s="219"/>
      <c r="H18" s="219"/>
      <c r="I18" s="501" t="s">
        <v>601</v>
      </c>
      <c r="J18" s="567" t="s">
        <v>387</v>
      </c>
      <c r="K18" s="467" t="s">
        <v>472</v>
      </c>
      <c r="L18" s="467" t="s">
        <v>473</v>
      </c>
      <c r="M18" s="467" t="s">
        <v>530</v>
      </c>
      <c r="N18" s="467" t="s">
        <v>451</v>
      </c>
      <c r="O18" s="467" t="s">
        <v>531</v>
      </c>
      <c r="P18" s="10" t="s">
        <v>351</v>
      </c>
      <c r="Q18" s="190" t="s">
        <v>231</v>
      </c>
      <c r="R18" s="283"/>
      <c r="S18" s="258"/>
      <c r="T18" s="258"/>
      <c r="U18" s="258"/>
      <c r="V18" s="258"/>
      <c r="W18" s="258"/>
      <c r="X18" s="258"/>
      <c r="Y18" s="258"/>
      <c r="Z18" s="273"/>
      <c r="AB18" s="251"/>
      <c r="AC18" s="251"/>
      <c r="AD18" s="251"/>
      <c r="AE18" s="251"/>
      <c r="AF18" s="251"/>
    </row>
    <row r="19" spans="2:34" ht="23.25" customHeight="1">
      <c r="B19" s="650"/>
      <c r="C19" s="660"/>
      <c r="D19" s="654"/>
      <c r="E19" s="566"/>
      <c r="F19" s="501"/>
      <c r="G19" s="219"/>
      <c r="H19" s="219"/>
      <c r="I19" s="501"/>
      <c r="J19" s="567"/>
      <c r="K19" s="468"/>
      <c r="L19" s="468"/>
      <c r="M19" s="468"/>
      <c r="N19" s="468"/>
      <c r="O19" s="468"/>
      <c r="P19" s="11" t="s">
        <v>352</v>
      </c>
      <c r="Q19" s="190" t="s">
        <v>231</v>
      </c>
      <c r="R19" s="283"/>
      <c r="S19" s="258"/>
      <c r="T19" s="258"/>
      <c r="U19" s="258"/>
      <c r="V19" s="258"/>
      <c r="W19" s="258"/>
      <c r="X19" s="258"/>
      <c r="Y19" s="258"/>
      <c r="Z19" s="273"/>
      <c r="AB19" s="251"/>
      <c r="AC19" s="251"/>
      <c r="AD19" s="251"/>
      <c r="AE19" s="251"/>
      <c r="AF19" s="251"/>
    </row>
    <row r="20" spans="2:34" ht="21" customHeight="1">
      <c r="B20" s="650"/>
      <c r="C20" s="660"/>
      <c r="D20" s="654"/>
      <c r="E20" s="566"/>
      <c r="F20" s="501"/>
      <c r="G20" s="219"/>
      <c r="H20" s="219"/>
      <c r="I20" s="501"/>
      <c r="J20" s="567"/>
      <c r="K20" s="468"/>
      <c r="L20" s="468"/>
      <c r="M20" s="468"/>
      <c r="N20" s="468"/>
      <c r="O20" s="468"/>
      <c r="P20" s="11" t="s">
        <v>353</v>
      </c>
      <c r="Q20" s="190" t="s">
        <v>231</v>
      </c>
      <c r="R20" s="283"/>
      <c r="S20" s="258"/>
      <c r="T20" s="258"/>
      <c r="U20" s="258"/>
      <c r="V20" s="258"/>
      <c r="W20" s="258"/>
      <c r="X20" s="258"/>
      <c r="Y20" s="258"/>
      <c r="Z20" s="273"/>
      <c r="AB20" s="251"/>
      <c r="AC20" s="251"/>
      <c r="AD20" s="251"/>
      <c r="AE20" s="251"/>
      <c r="AF20" s="251"/>
    </row>
    <row r="21" spans="2:34" ht="17.25" customHeight="1">
      <c r="B21" s="650"/>
      <c r="C21" s="660"/>
      <c r="D21" s="654"/>
      <c r="E21" s="566"/>
      <c r="F21" s="501"/>
      <c r="G21" s="219"/>
      <c r="H21" s="219"/>
      <c r="I21" s="501"/>
      <c r="J21" s="567"/>
      <c r="K21" s="468"/>
      <c r="L21" s="468"/>
      <c r="M21" s="468"/>
      <c r="N21" s="468"/>
      <c r="O21" s="468"/>
      <c r="P21" s="11" t="s">
        <v>354</v>
      </c>
      <c r="Q21" s="190" t="s">
        <v>231</v>
      </c>
      <c r="R21" s="283"/>
      <c r="S21" s="258"/>
      <c r="T21" s="258"/>
      <c r="U21" s="258"/>
      <c r="V21" s="258"/>
      <c r="W21" s="258"/>
      <c r="X21" s="258"/>
      <c r="Y21" s="258"/>
      <c r="Z21" s="273"/>
      <c r="AB21" s="251"/>
      <c r="AC21" s="251"/>
      <c r="AD21" s="251"/>
      <c r="AE21" s="251"/>
      <c r="AF21" s="251"/>
    </row>
    <row r="22" spans="2:34" ht="21.75" customHeight="1">
      <c r="B22" s="650"/>
      <c r="C22" s="660"/>
      <c r="D22" s="654"/>
      <c r="E22" s="566"/>
      <c r="F22" s="501"/>
      <c r="G22" s="219"/>
      <c r="H22" s="219"/>
      <c r="I22" s="501"/>
      <c r="J22" s="567"/>
      <c r="K22" s="468"/>
      <c r="L22" s="468"/>
      <c r="M22" s="468"/>
      <c r="N22" s="468"/>
      <c r="O22" s="468"/>
      <c r="P22" s="186" t="s">
        <v>445</v>
      </c>
      <c r="Q22" s="253" t="s">
        <v>370</v>
      </c>
      <c r="R22" s="285">
        <v>10</v>
      </c>
      <c r="S22" s="278">
        <v>50</v>
      </c>
      <c r="T22" s="278">
        <v>60</v>
      </c>
      <c r="U22" s="278">
        <v>70</v>
      </c>
      <c r="V22" s="278">
        <v>80</v>
      </c>
      <c r="W22" s="278">
        <v>90</v>
      </c>
      <c r="X22" s="278">
        <v>100</v>
      </c>
      <c r="Y22" s="278">
        <v>110</v>
      </c>
      <c r="Z22" s="279">
        <v>122</v>
      </c>
      <c r="AB22" s="252" t="s">
        <v>444</v>
      </c>
      <c r="AC22" s="251" t="s">
        <v>450</v>
      </c>
      <c r="AD22" s="254" t="s">
        <v>446</v>
      </c>
      <c r="AE22" s="251">
        <f>AG23*('Récapitulatif évolution'!LZ12-'Récapitulatif évolution'!ME23)/(0.75*AG22)</f>
        <v>3.724043715846994E-2</v>
      </c>
      <c r="AF22" s="251">
        <f>(AG23*('Récapitulatif évolution'!LZ29-'Récapitulatif évolution'!ME40))/(0.75*AG22)</f>
        <v>10.877377049180328</v>
      </c>
      <c r="AG22">
        <v>122</v>
      </c>
      <c r="AH22" s="307" t="s">
        <v>539</v>
      </c>
    </row>
    <row r="23" spans="2:34">
      <c r="B23" s="650"/>
      <c r="C23" s="661"/>
      <c r="D23" s="655"/>
      <c r="E23" s="576"/>
      <c r="F23" s="502"/>
      <c r="G23" s="220"/>
      <c r="H23" s="220"/>
      <c r="I23" s="502"/>
      <c r="J23" s="580"/>
      <c r="K23" s="479"/>
      <c r="L23" s="479"/>
      <c r="M23" s="479"/>
      <c r="N23" s="479"/>
      <c r="O23" s="479"/>
      <c r="P23" s="42" t="s">
        <v>355</v>
      </c>
      <c r="Q23" s="193" t="s">
        <v>231</v>
      </c>
      <c r="R23" s="266"/>
      <c r="S23" s="261"/>
      <c r="T23" s="261"/>
      <c r="U23" s="261"/>
      <c r="V23" s="261"/>
      <c r="W23" s="261"/>
      <c r="X23" s="261"/>
      <c r="Y23" s="261"/>
      <c r="Z23" s="284"/>
      <c r="AB23" s="251"/>
      <c r="AC23" s="251"/>
      <c r="AD23" s="251"/>
      <c r="AE23" s="251"/>
      <c r="AF23" s="251"/>
      <c r="AG23" s="314">
        <v>0.14499999999999999</v>
      </c>
      <c r="AH23" s="307" t="s">
        <v>540</v>
      </c>
    </row>
    <row r="24" spans="2:34">
      <c r="B24" s="651"/>
      <c r="C24" s="644" t="s">
        <v>117</v>
      </c>
      <c r="D24" s="459" t="s">
        <v>228</v>
      </c>
      <c r="E24" s="461" t="s">
        <v>393</v>
      </c>
      <c r="F24" s="500" t="s">
        <v>432</v>
      </c>
      <c r="G24" s="226"/>
      <c r="H24" s="226"/>
      <c r="I24" s="500" t="s">
        <v>431</v>
      </c>
      <c r="J24" s="464" t="s">
        <v>395</v>
      </c>
      <c r="K24" s="467" t="s">
        <v>472</v>
      </c>
      <c r="L24" s="467" t="s">
        <v>473</v>
      </c>
      <c r="M24" s="467" t="s">
        <v>529</v>
      </c>
      <c r="N24" s="467" t="s">
        <v>451</v>
      </c>
      <c r="O24" s="480" t="s">
        <v>532</v>
      </c>
      <c r="P24" s="40" t="s">
        <v>356</v>
      </c>
      <c r="Q24" s="192" t="s">
        <v>231</v>
      </c>
      <c r="R24" s="286"/>
      <c r="S24" s="262"/>
      <c r="T24" s="262"/>
      <c r="U24" s="262"/>
      <c r="V24" s="262"/>
      <c r="W24" s="262"/>
      <c r="X24" s="262"/>
      <c r="Y24" s="262"/>
      <c r="Z24" s="271"/>
      <c r="AB24" s="251"/>
      <c r="AC24" s="251"/>
      <c r="AD24" s="251"/>
      <c r="AE24" s="251"/>
      <c r="AF24" s="251"/>
    </row>
    <row r="25" spans="2:34">
      <c r="B25" s="652"/>
      <c r="C25" s="645"/>
      <c r="D25" s="460"/>
      <c r="E25" s="566"/>
      <c r="F25" s="501"/>
      <c r="G25" s="219"/>
      <c r="H25" s="219"/>
      <c r="I25" s="501"/>
      <c r="J25" s="567"/>
      <c r="K25" s="468"/>
      <c r="L25" s="468"/>
      <c r="M25" s="468"/>
      <c r="N25" s="468"/>
      <c r="O25" s="481"/>
      <c r="P25" s="40" t="s">
        <v>357</v>
      </c>
      <c r="Q25" s="190" t="s">
        <v>370</v>
      </c>
      <c r="R25" s="283"/>
      <c r="S25" s="258"/>
      <c r="T25" s="258"/>
      <c r="U25" s="258"/>
      <c r="V25" s="258"/>
      <c r="W25" s="258"/>
      <c r="X25" s="258"/>
      <c r="Y25" s="258"/>
      <c r="Z25" s="273"/>
      <c r="AB25" s="251"/>
      <c r="AC25" s="251"/>
      <c r="AD25" s="251"/>
      <c r="AE25" s="251"/>
      <c r="AF25" s="251"/>
    </row>
    <row r="26" spans="2:34">
      <c r="B26" s="652"/>
      <c r="C26" s="645"/>
      <c r="D26" s="460"/>
      <c r="E26" s="566"/>
      <c r="F26" s="501"/>
      <c r="G26" s="219"/>
      <c r="H26" s="219"/>
      <c r="I26" s="501"/>
      <c r="J26" s="567"/>
      <c r="K26" s="468"/>
      <c r="L26" s="468"/>
      <c r="M26" s="468"/>
      <c r="N26" s="468"/>
      <c r="O26" s="481"/>
      <c r="P26" s="40" t="s">
        <v>358</v>
      </c>
      <c r="Q26" s="190" t="s">
        <v>376</v>
      </c>
      <c r="R26" s="283"/>
      <c r="S26" s="258"/>
      <c r="T26" s="258"/>
      <c r="U26" s="258"/>
      <c r="V26" s="268"/>
      <c r="W26" s="258"/>
      <c r="X26" s="258"/>
      <c r="Y26" s="258"/>
      <c r="Z26" s="273"/>
      <c r="AB26" s="251"/>
      <c r="AC26" s="251"/>
      <c r="AD26" s="251"/>
      <c r="AE26" s="251"/>
      <c r="AF26" s="251"/>
    </row>
    <row r="27" spans="2:34">
      <c r="B27" s="652"/>
      <c r="C27" s="645"/>
      <c r="D27" s="460"/>
      <c r="E27" s="566"/>
      <c r="F27" s="501"/>
      <c r="G27" s="219"/>
      <c r="H27" s="219"/>
      <c r="I27" s="501"/>
      <c r="J27" s="567"/>
      <c r="K27" s="468"/>
      <c r="L27" s="468"/>
      <c r="M27" s="468"/>
      <c r="N27" s="468"/>
      <c r="O27" s="481"/>
      <c r="P27" s="40" t="s">
        <v>359</v>
      </c>
      <c r="Q27" s="190" t="s">
        <v>231</v>
      </c>
      <c r="R27" s="283"/>
      <c r="S27" s="258"/>
      <c r="T27" s="258"/>
      <c r="U27" s="258"/>
      <c r="V27" s="258"/>
      <c r="W27" s="258"/>
      <c r="X27" s="258"/>
      <c r="Y27" s="258"/>
      <c r="Z27" s="273"/>
      <c r="AB27" s="251"/>
      <c r="AC27" s="251"/>
      <c r="AD27" s="251"/>
      <c r="AE27" s="251"/>
      <c r="AF27" s="251"/>
    </row>
    <row r="28" spans="2:34">
      <c r="B28" s="652"/>
      <c r="C28" s="645"/>
      <c r="D28" s="460"/>
      <c r="E28" s="566"/>
      <c r="F28" s="501"/>
      <c r="G28" s="219"/>
      <c r="H28" s="219"/>
      <c r="I28" s="501"/>
      <c r="J28" s="567"/>
      <c r="K28" s="468"/>
      <c r="L28" s="468"/>
      <c r="M28" s="468"/>
      <c r="N28" s="468"/>
      <c r="O28" s="481"/>
      <c r="P28" s="40" t="s">
        <v>756</v>
      </c>
      <c r="Q28" s="399" t="s">
        <v>755</v>
      </c>
      <c r="R28" s="285"/>
      <c r="S28" s="278"/>
      <c r="T28" s="278"/>
      <c r="U28" s="278"/>
      <c r="V28" s="278"/>
      <c r="W28" s="278"/>
      <c r="X28" s="278"/>
      <c r="Y28" s="278"/>
      <c r="Z28" s="279"/>
      <c r="AB28" s="251"/>
      <c r="AC28" s="251"/>
      <c r="AD28" s="251"/>
      <c r="AE28" s="251"/>
      <c r="AF28" s="251"/>
    </row>
    <row r="29" spans="2:34">
      <c r="B29" s="652"/>
      <c r="C29" s="646"/>
      <c r="D29" s="460"/>
      <c r="E29" s="576"/>
      <c r="F29" s="502"/>
      <c r="G29" s="220"/>
      <c r="H29" s="220"/>
      <c r="I29" s="502"/>
      <c r="J29" s="580"/>
      <c r="K29" s="468"/>
      <c r="L29" s="468"/>
      <c r="M29" s="468"/>
      <c r="N29" s="468"/>
      <c r="O29" s="481"/>
      <c r="P29" s="400" t="s">
        <v>360</v>
      </c>
      <c r="Q29" s="191" t="s">
        <v>370</v>
      </c>
      <c r="R29" s="266"/>
      <c r="S29" s="261"/>
      <c r="T29" s="261"/>
      <c r="U29" s="261"/>
      <c r="V29" s="261"/>
      <c r="W29" s="261"/>
      <c r="X29" s="261"/>
      <c r="Y29" s="261"/>
      <c r="Z29" s="284"/>
      <c r="AB29" s="251"/>
      <c r="AC29" s="251"/>
      <c r="AD29" s="251"/>
      <c r="AE29" s="251"/>
      <c r="AF29" s="251"/>
    </row>
    <row r="30" spans="2:34">
      <c r="B30" s="652"/>
      <c r="C30" s="644" t="s">
        <v>122</v>
      </c>
      <c r="D30" s="459" t="s">
        <v>229</v>
      </c>
      <c r="E30" s="461" t="s">
        <v>421</v>
      </c>
      <c r="F30" s="500" t="s">
        <v>422</v>
      </c>
      <c r="G30" s="226"/>
      <c r="H30" s="226"/>
      <c r="I30" s="500" t="s">
        <v>434</v>
      </c>
      <c r="J30" s="232"/>
      <c r="K30" s="467" t="s">
        <v>472</v>
      </c>
      <c r="L30" s="467" t="s">
        <v>473</v>
      </c>
      <c r="M30" s="467" t="s">
        <v>533</v>
      </c>
      <c r="N30" s="467" t="s">
        <v>451</v>
      </c>
      <c r="O30" s="642"/>
      <c r="P30" s="11" t="s">
        <v>361</v>
      </c>
      <c r="Q30" s="190" t="s">
        <v>376</v>
      </c>
      <c r="R30" s="286"/>
      <c r="S30" s="262"/>
      <c r="T30" s="262"/>
      <c r="U30" s="262"/>
      <c r="V30" s="262"/>
      <c r="W30" s="262"/>
      <c r="X30" s="262"/>
      <c r="Y30" s="262"/>
      <c r="Z30" s="271"/>
      <c r="AB30" s="251"/>
      <c r="AC30" s="251"/>
      <c r="AD30" s="251"/>
      <c r="AE30" s="251"/>
      <c r="AF30" s="251"/>
    </row>
    <row r="31" spans="2:34">
      <c r="B31" s="652"/>
      <c r="C31" s="656"/>
      <c r="D31" s="460"/>
      <c r="E31" s="566"/>
      <c r="F31" s="501"/>
      <c r="G31" s="219"/>
      <c r="H31" s="219"/>
      <c r="I31" s="501"/>
      <c r="J31" s="232"/>
      <c r="K31" s="468"/>
      <c r="L31" s="468"/>
      <c r="M31" s="468"/>
      <c r="N31" s="468"/>
      <c r="O31" s="643"/>
      <c r="P31" s="10" t="s">
        <v>362</v>
      </c>
      <c r="Q31" s="190" t="s">
        <v>370</v>
      </c>
      <c r="R31" s="286"/>
      <c r="S31" s="262"/>
      <c r="T31" s="262"/>
      <c r="U31" s="262"/>
      <c r="V31" s="262"/>
      <c r="W31" s="262"/>
      <c r="X31" s="262"/>
      <c r="Y31" s="262"/>
      <c r="Z31" s="271"/>
      <c r="AB31" s="251"/>
      <c r="AC31" s="251"/>
      <c r="AD31" s="251"/>
      <c r="AE31" s="251"/>
      <c r="AF31" s="251"/>
    </row>
    <row r="32" spans="2:34">
      <c r="B32" s="652"/>
      <c r="C32" s="656"/>
      <c r="D32" s="460"/>
      <c r="E32" s="566"/>
      <c r="F32" s="501"/>
      <c r="G32" s="219"/>
      <c r="H32" s="219"/>
      <c r="I32" s="501"/>
      <c r="J32" s="232"/>
      <c r="K32" s="468"/>
      <c r="L32" s="468"/>
      <c r="M32" s="468"/>
      <c r="N32" s="468"/>
      <c r="O32" s="643"/>
      <c r="P32" s="10" t="s">
        <v>363</v>
      </c>
      <c r="Q32" s="190" t="s">
        <v>370</v>
      </c>
      <c r="R32" s="286"/>
      <c r="S32" s="262"/>
      <c r="T32" s="262"/>
      <c r="U32" s="262"/>
      <c r="V32" s="262"/>
      <c r="W32" s="262"/>
      <c r="X32" s="262"/>
      <c r="Y32" s="262"/>
      <c r="Z32" s="271"/>
      <c r="AB32" s="251"/>
      <c r="AC32" s="251"/>
      <c r="AD32" s="251"/>
      <c r="AE32" s="251"/>
      <c r="AF32" s="251"/>
    </row>
    <row r="33" spans="2:32">
      <c r="B33" s="652"/>
      <c r="C33" s="645"/>
      <c r="D33" s="460"/>
      <c r="E33" s="566"/>
      <c r="F33" s="501"/>
      <c r="G33" s="219"/>
      <c r="H33" s="219"/>
      <c r="I33" s="501"/>
      <c r="J33" s="232"/>
      <c r="K33" s="468"/>
      <c r="L33" s="468"/>
      <c r="M33" s="468"/>
      <c r="N33" s="468"/>
      <c r="O33" s="643"/>
      <c r="P33" s="11" t="s">
        <v>364</v>
      </c>
      <c r="Q33" s="190" t="s">
        <v>370</v>
      </c>
      <c r="R33" s="283"/>
      <c r="S33" s="258"/>
      <c r="T33" s="258"/>
      <c r="U33" s="258"/>
      <c r="V33" s="258"/>
      <c r="W33" s="258"/>
      <c r="X33" s="258"/>
      <c r="Y33" s="258"/>
      <c r="Z33" s="273"/>
      <c r="AB33" s="251"/>
      <c r="AC33" s="251"/>
      <c r="AD33" s="251"/>
      <c r="AE33" s="251"/>
      <c r="AF33" s="251"/>
    </row>
    <row r="34" spans="2:32" ht="25.5">
      <c r="B34" s="652"/>
      <c r="C34" s="645"/>
      <c r="D34" s="460"/>
      <c r="E34" s="566"/>
      <c r="F34" s="501"/>
      <c r="G34" s="219"/>
      <c r="H34" s="219"/>
      <c r="I34" s="501"/>
      <c r="J34" s="232"/>
      <c r="K34" s="468"/>
      <c r="L34" s="468"/>
      <c r="M34" s="468"/>
      <c r="N34" s="468"/>
      <c r="O34" s="643"/>
      <c r="P34" s="401" t="s">
        <v>741</v>
      </c>
      <c r="Q34" s="399" t="s">
        <v>370</v>
      </c>
      <c r="R34" s="285"/>
      <c r="S34" s="278"/>
      <c r="T34" s="278"/>
      <c r="U34" s="278"/>
      <c r="V34" s="278"/>
      <c r="W34" s="278"/>
      <c r="X34" s="278"/>
      <c r="Y34" s="278"/>
      <c r="Z34" s="279"/>
      <c r="AB34" s="251"/>
      <c r="AC34" s="251"/>
      <c r="AD34" s="251"/>
      <c r="AE34" s="251"/>
      <c r="AF34" s="251"/>
    </row>
    <row r="35" spans="2:32">
      <c r="B35" s="652"/>
      <c r="C35" s="645"/>
      <c r="D35" s="460"/>
      <c r="E35" s="576"/>
      <c r="F35" s="502"/>
      <c r="G35" s="220"/>
      <c r="H35" s="220"/>
      <c r="I35" s="502"/>
      <c r="J35" s="225"/>
      <c r="K35" s="468"/>
      <c r="L35" s="468"/>
      <c r="M35" s="468"/>
      <c r="N35" s="468"/>
      <c r="O35" s="643"/>
      <c r="P35" s="12" t="s">
        <v>365</v>
      </c>
      <c r="Q35" s="191" t="s">
        <v>376</v>
      </c>
      <c r="R35" s="266"/>
      <c r="S35" s="261"/>
      <c r="T35" s="261"/>
      <c r="U35" s="261"/>
      <c r="V35" s="261"/>
      <c r="W35" s="261"/>
      <c r="X35" s="261"/>
      <c r="Y35" s="261"/>
      <c r="Z35" s="284"/>
      <c r="AB35" s="251"/>
      <c r="AC35" s="251"/>
      <c r="AD35" s="251"/>
      <c r="AE35" s="251"/>
      <c r="AF35" s="251"/>
    </row>
    <row r="36" spans="2:32">
      <c r="B36" s="652"/>
      <c r="C36" s="645"/>
      <c r="D36" s="459" t="s">
        <v>230</v>
      </c>
      <c r="E36" s="566" t="s">
        <v>433</v>
      </c>
      <c r="F36" s="219"/>
      <c r="G36" s="219"/>
      <c r="H36" s="219"/>
      <c r="I36" s="500" t="s">
        <v>420</v>
      </c>
      <c r="J36" s="232"/>
      <c r="K36" s="467" t="s">
        <v>472</v>
      </c>
      <c r="L36" s="467" t="s">
        <v>473</v>
      </c>
      <c r="M36" s="467" t="s">
        <v>535</v>
      </c>
      <c r="N36" s="467" t="s">
        <v>451</v>
      </c>
      <c r="O36" s="480" t="s">
        <v>534</v>
      </c>
      <c r="P36" s="10" t="s">
        <v>366</v>
      </c>
      <c r="Q36" s="190" t="s">
        <v>370</v>
      </c>
      <c r="R36" s="286"/>
      <c r="S36" s="262"/>
      <c r="T36" s="262"/>
      <c r="U36" s="262"/>
      <c r="V36" s="262"/>
      <c r="W36" s="262"/>
      <c r="X36" s="262"/>
      <c r="Y36" s="262"/>
      <c r="Z36" s="271"/>
      <c r="AB36" s="251"/>
      <c r="AC36" s="251"/>
      <c r="AD36" s="251"/>
      <c r="AE36" s="251"/>
      <c r="AF36" s="251"/>
    </row>
    <row r="37" spans="2:32">
      <c r="B37" s="652"/>
      <c r="C37" s="645"/>
      <c r="D37" s="460"/>
      <c r="E37" s="566"/>
      <c r="F37" s="219"/>
      <c r="G37" s="219"/>
      <c r="H37" s="219"/>
      <c r="I37" s="501"/>
      <c r="J37" s="232"/>
      <c r="K37" s="468"/>
      <c r="L37" s="468"/>
      <c r="M37" s="468"/>
      <c r="N37" s="468"/>
      <c r="O37" s="481"/>
      <c r="P37" s="10" t="s">
        <v>367</v>
      </c>
      <c r="Q37" s="190" t="s">
        <v>231</v>
      </c>
      <c r="R37" s="286"/>
      <c r="S37" s="262"/>
      <c r="T37" s="262"/>
      <c r="U37" s="262"/>
      <c r="V37" s="262"/>
      <c r="W37" s="262"/>
      <c r="X37" s="262"/>
      <c r="Y37" s="262"/>
      <c r="Z37" s="271"/>
      <c r="AB37" s="251"/>
      <c r="AC37" s="251"/>
      <c r="AD37" s="251"/>
      <c r="AE37" s="251"/>
      <c r="AF37" s="251"/>
    </row>
    <row r="38" spans="2:32">
      <c r="B38" s="652"/>
      <c r="C38" s="645"/>
      <c r="D38" s="460"/>
      <c r="E38" s="566"/>
      <c r="F38" s="219"/>
      <c r="G38" s="219"/>
      <c r="H38" s="219"/>
      <c r="I38" s="501"/>
      <c r="J38" s="232"/>
      <c r="K38" s="468"/>
      <c r="L38" s="468"/>
      <c r="M38" s="468"/>
      <c r="N38" s="468"/>
      <c r="O38" s="481"/>
      <c r="P38" s="11" t="s">
        <v>368</v>
      </c>
      <c r="Q38" s="190" t="s">
        <v>370</v>
      </c>
      <c r="R38" s="283"/>
      <c r="S38" s="258"/>
      <c r="T38" s="258"/>
      <c r="U38" s="258"/>
      <c r="V38" s="258"/>
      <c r="W38" s="258"/>
      <c r="X38" s="258"/>
      <c r="Y38" s="258"/>
      <c r="Z38" s="273"/>
      <c r="AB38" s="251"/>
      <c r="AC38" s="251"/>
      <c r="AD38" s="251"/>
      <c r="AE38" s="251"/>
      <c r="AF38" s="251"/>
    </row>
    <row r="39" spans="2:32" ht="15" customHeight="1">
      <c r="B39" s="652"/>
      <c r="C39" s="646"/>
      <c r="D39" s="460"/>
      <c r="E39" s="566"/>
      <c r="F39" s="219"/>
      <c r="G39" s="219"/>
      <c r="H39" s="219"/>
      <c r="I39" s="551"/>
      <c r="J39" s="232"/>
      <c r="K39" s="468"/>
      <c r="L39" s="468"/>
      <c r="M39" s="468"/>
      <c r="N39" s="468"/>
      <c r="O39" s="481"/>
      <c r="P39" s="11" t="s">
        <v>369</v>
      </c>
      <c r="Q39" s="190" t="s">
        <v>376</v>
      </c>
      <c r="R39" s="283"/>
      <c r="S39" s="258"/>
      <c r="T39" s="258"/>
      <c r="U39" s="258"/>
      <c r="V39" s="258"/>
      <c r="W39" s="258"/>
      <c r="X39" s="258"/>
      <c r="Y39" s="258"/>
      <c r="Z39" s="273"/>
      <c r="AB39" s="251"/>
      <c r="AC39" s="251"/>
      <c r="AD39" s="251"/>
      <c r="AE39" s="251"/>
      <c r="AF39" s="251"/>
    </row>
    <row r="40" spans="2:32" ht="15" customHeight="1" thickBot="1">
      <c r="B40" s="653"/>
      <c r="C40" s="41"/>
      <c r="D40" s="14"/>
      <c r="E40" s="15"/>
      <c r="F40" s="127"/>
      <c r="G40" s="127"/>
      <c r="H40" s="127"/>
      <c r="I40" s="16"/>
      <c r="J40" s="17"/>
      <c r="K40" s="20"/>
      <c r="L40" s="20"/>
      <c r="M40" s="18"/>
      <c r="N40" s="18"/>
      <c r="O40" s="19"/>
      <c r="P40" s="19"/>
      <c r="Q40" s="21"/>
      <c r="R40" s="19"/>
      <c r="S40" s="19"/>
      <c r="T40" s="19"/>
      <c r="U40" s="19"/>
      <c r="V40" s="19"/>
      <c r="W40" s="19"/>
      <c r="X40" s="19"/>
      <c r="Y40" s="19"/>
      <c r="Z40" s="21"/>
      <c r="AB40" s="251"/>
      <c r="AC40" s="251"/>
      <c r="AD40" s="251"/>
      <c r="AE40" s="251"/>
      <c r="AF40" s="251"/>
    </row>
    <row r="41" spans="2:32">
      <c r="B41" s="22"/>
      <c r="C41" s="22"/>
      <c r="D41" s="23"/>
      <c r="E41" s="24"/>
      <c r="F41" s="24"/>
      <c r="G41" s="24"/>
      <c r="H41" s="24"/>
      <c r="I41" s="25"/>
      <c r="J41" s="26"/>
      <c r="K41" s="26"/>
      <c r="L41" s="26"/>
      <c r="M41" s="26"/>
      <c r="N41" s="26"/>
      <c r="O41" s="27"/>
      <c r="P41" s="28"/>
      <c r="Q41" s="7"/>
    </row>
    <row r="42" spans="2:32" ht="15" customHeight="1">
      <c r="B42" s="29"/>
      <c r="C42" s="29"/>
      <c r="D42" s="29"/>
      <c r="E42" s="29"/>
      <c r="F42" s="29"/>
      <c r="G42" s="29"/>
      <c r="H42" s="29"/>
      <c r="I42" s="29"/>
      <c r="J42" s="30"/>
      <c r="K42" s="30"/>
      <c r="L42" s="30"/>
      <c r="M42" s="488" t="s">
        <v>12</v>
      </c>
      <c r="N42" s="488"/>
      <c r="O42" s="489"/>
      <c r="P42" s="477" t="s">
        <v>18</v>
      </c>
      <c r="R42" s="647"/>
      <c r="S42" s="647"/>
      <c r="T42" s="647"/>
      <c r="U42" s="647"/>
      <c r="V42" s="647"/>
      <c r="W42" s="647"/>
      <c r="X42" s="647"/>
      <c r="Y42" s="647"/>
      <c r="Z42" s="647"/>
    </row>
    <row r="43" spans="2:32">
      <c r="B43" s="29"/>
      <c r="C43" s="29"/>
      <c r="D43" s="29"/>
      <c r="E43" s="29"/>
      <c r="F43" s="29"/>
      <c r="G43" s="29"/>
      <c r="H43" s="29"/>
      <c r="I43" s="29"/>
      <c r="J43" s="29"/>
      <c r="K43" s="29"/>
      <c r="L43" s="29"/>
      <c r="M43" s="488"/>
      <c r="N43" s="488"/>
      <c r="O43" s="489"/>
      <c r="P43" s="478"/>
      <c r="R43" s="647"/>
      <c r="S43" s="647"/>
      <c r="T43" s="647"/>
      <c r="U43" s="647"/>
      <c r="V43" s="647"/>
      <c r="W43" s="647"/>
      <c r="X43" s="647"/>
      <c r="Y43" s="647"/>
      <c r="Z43" s="647"/>
    </row>
    <row r="44" spans="2:32">
      <c r="B44" s="29"/>
      <c r="C44" s="29"/>
      <c r="D44" s="29"/>
      <c r="E44" s="29"/>
      <c r="F44" s="29"/>
      <c r="G44" s="29"/>
      <c r="H44" s="29"/>
      <c r="I44" s="29"/>
      <c r="J44" s="29"/>
      <c r="K44" s="29"/>
      <c r="L44" s="29"/>
      <c r="M44" s="32"/>
      <c r="N44" s="32"/>
      <c r="O44" s="32"/>
      <c r="P44" s="32"/>
      <c r="R44" s="43"/>
      <c r="S44" s="43"/>
      <c r="T44" s="43"/>
      <c r="U44" s="43"/>
      <c r="V44" s="43"/>
      <c r="W44" s="43"/>
      <c r="X44" s="43"/>
      <c r="Y44" s="43"/>
      <c r="Z44" s="43"/>
    </row>
    <row r="45" spans="2:32">
      <c r="B45" s="29"/>
      <c r="C45" s="29"/>
      <c r="D45" s="29"/>
      <c r="E45" s="29"/>
      <c r="F45" s="29"/>
      <c r="G45" s="29"/>
      <c r="H45" s="29"/>
      <c r="I45" s="29"/>
      <c r="J45" s="29"/>
      <c r="K45" s="29"/>
      <c r="L45" s="29"/>
      <c r="M45" s="32"/>
      <c r="N45" s="32"/>
      <c r="O45" s="593" t="s">
        <v>24</v>
      </c>
      <c r="P45" s="94" t="s">
        <v>82</v>
      </c>
      <c r="Q45" s="89" t="s">
        <v>7</v>
      </c>
      <c r="R45" s="97" t="s">
        <v>90</v>
      </c>
      <c r="S45" s="97" t="s">
        <v>19</v>
      </c>
      <c r="T45" s="97" t="s">
        <v>91</v>
      </c>
      <c r="U45" s="97" t="s">
        <v>92</v>
      </c>
      <c r="V45" s="97" t="s">
        <v>20</v>
      </c>
      <c r="W45" s="97" t="s">
        <v>93</v>
      </c>
      <c r="X45" s="97" t="s">
        <v>94</v>
      </c>
      <c r="Y45" s="97" t="s">
        <v>95</v>
      </c>
      <c r="Z45" s="97" t="s">
        <v>96</v>
      </c>
    </row>
    <row r="46" spans="2:32">
      <c r="B46" s="29"/>
      <c r="C46" s="29"/>
      <c r="D46" s="29"/>
      <c r="E46" s="29"/>
      <c r="F46" s="29"/>
      <c r="G46" s="29"/>
      <c r="H46" s="29"/>
      <c r="I46" s="29"/>
      <c r="J46" s="29"/>
      <c r="K46" s="29"/>
      <c r="L46" s="29"/>
      <c r="M46" s="32"/>
      <c r="N46" s="32"/>
      <c r="O46" s="594"/>
      <c r="P46" s="93" t="s">
        <v>25</v>
      </c>
      <c r="Q46" s="44" t="s">
        <v>11</v>
      </c>
      <c r="R46" s="47">
        <f>R22*$AE$22</f>
        <v>0.37240437158469941</v>
      </c>
      <c r="S46" s="47">
        <f t="shared" ref="S46:Z46" si="0">S22*$AE$22</f>
        <v>1.8620218579234971</v>
      </c>
      <c r="T46" s="47">
        <f t="shared" si="0"/>
        <v>2.2344262295081965</v>
      </c>
      <c r="U46" s="47">
        <f t="shared" si="0"/>
        <v>2.6068306010928959</v>
      </c>
      <c r="V46" s="47">
        <f t="shared" si="0"/>
        <v>2.9792349726775953</v>
      </c>
      <c r="W46" s="47">
        <f t="shared" si="0"/>
        <v>3.3516393442622947</v>
      </c>
      <c r="X46" s="47">
        <f t="shared" si="0"/>
        <v>3.7240437158469941</v>
      </c>
      <c r="Y46" s="47">
        <f t="shared" si="0"/>
        <v>4.0964480874316935</v>
      </c>
      <c r="Z46" s="47">
        <f t="shared" si="0"/>
        <v>4.543333333333333</v>
      </c>
    </row>
    <row r="47" spans="2:32">
      <c r="B47" s="29"/>
      <c r="C47" s="29"/>
      <c r="D47" s="29"/>
      <c r="E47" s="29"/>
      <c r="F47" s="29"/>
      <c r="G47" s="29"/>
      <c r="H47" s="29"/>
      <c r="I47" s="29"/>
      <c r="J47" s="29"/>
      <c r="K47" s="29"/>
      <c r="L47" s="29"/>
      <c r="M47" s="32"/>
      <c r="N47" s="32"/>
      <c r="O47" s="595"/>
      <c r="P47" s="95" t="s">
        <v>26</v>
      </c>
      <c r="Q47" s="88" t="s">
        <v>27</v>
      </c>
      <c r="R47" s="96">
        <f>R22*$AF$22</f>
        <v>108.77377049180328</v>
      </c>
      <c r="S47" s="96">
        <f t="shared" ref="S47:Z47" si="1">S22*$AF$22</f>
        <v>543.86885245901647</v>
      </c>
      <c r="T47" s="96">
        <f t="shared" si="1"/>
        <v>652.64262295081971</v>
      </c>
      <c r="U47" s="96">
        <f t="shared" si="1"/>
        <v>761.41639344262296</v>
      </c>
      <c r="V47" s="96">
        <f t="shared" si="1"/>
        <v>870.19016393442621</v>
      </c>
      <c r="W47" s="96">
        <f t="shared" si="1"/>
        <v>978.96393442622957</v>
      </c>
      <c r="X47" s="96">
        <f t="shared" si="1"/>
        <v>1087.7377049180329</v>
      </c>
      <c r="Y47" s="96">
        <f t="shared" si="1"/>
        <v>1196.5114754098361</v>
      </c>
      <c r="Z47" s="96">
        <f t="shared" si="1"/>
        <v>1327.04</v>
      </c>
    </row>
  </sheetData>
  <sheetProtection insertColumns="0" insertRows="0" autoFilter="0"/>
  <mergeCells count="80">
    <mergeCell ref="D3:Q3"/>
    <mergeCell ref="D4:Q4"/>
    <mergeCell ref="E5:O5"/>
    <mergeCell ref="P5:Q5"/>
    <mergeCell ref="N7:N9"/>
    <mergeCell ref="O7:O9"/>
    <mergeCell ref="P7:P9"/>
    <mergeCell ref="Q7:Q9"/>
    <mergeCell ref="M8:M9"/>
    <mergeCell ref="R7:Z8"/>
    <mergeCell ref="B7:B9"/>
    <mergeCell ref="C7:C9"/>
    <mergeCell ref="D7:D9"/>
    <mergeCell ref="E7:J7"/>
    <mergeCell ref="K7:M7"/>
    <mergeCell ref="K8:K9"/>
    <mergeCell ref="L8:L9"/>
    <mergeCell ref="E8:F8"/>
    <mergeCell ref="B10:B40"/>
    <mergeCell ref="D10:D13"/>
    <mergeCell ref="D18:D23"/>
    <mergeCell ref="E18:E23"/>
    <mergeCell ref="I18:I23"/>
    <mergeCell ref="D24:D29"/>
    <mergeCell ref="E24:E29"/>
    <mergeCell ref="I24:I29"/>
    <mergeCell ref="C30:C39"/>
    <mergeCell ref="D30:D35"/>
    <mergeCell ref="C10:C13"/>
    <mergeCell ref="D14:D17"/>
    <mergeCell ref="E14:E17"/>
    <mergeCell ref="G10:G13"/>
    <mergeCell ref="F14:F17"/>
    <mergeCell ref="C14:C23"/>
    <mergeCell ref="D36:D39"/>
    <mergeCell ref="E36:E39"/>
    <mergeCell ref="I36:I39"/>
    <mergeCell ref="K36:K39"/>
    <mergeCell ref="R42:Z43"/>
    <mergeCell ref="L36:L39"/>
    <mergeCell ref="M36:M39"/>
    <mergeCell ref="N36:N39"/>
    <mergeCell ref="O36:O39"/>
    <mergeCell ref="C24:C29"/>
    <mergeCell ref="L24:L29"/>
    <mergeCell ref="M24:M29"/>
    <mergeCell ref="K24:K29"/>
    <mergeCell ref="E30:E35"/>
    <mergeCell ref="I30:I35"/>
    <mergeCell ref="K30:K35"/>
    <mergeCell ref="L30:L35"/>
    <mergeCell ref="M30:M35"/>
    <mergeCell ref="F24:F29"/>
    <mergeCell ref="F30:F35"/>
    <mergeCell ref="J24:J29"/>
    <mergeCell ref="N14:N17"/>
    <mergeCell ref="O14:O17"/>
    <mergeCell ref="O45:O47"/>
    <mergeCell ref="M42:O43"/>
    <mergeCell ref="P42:P43"/>
    <mergeCell ref="N24:N29"/>
    <mergeCell ref="O24:O29"/>
    <mergeCell ref="N30:N35"/>
    <mergeCell ref="O30:O35"/>
    <mergeCell ref="O18:O23"/>
    <mergeCell ref="N18:N23"/>
    <mergeCell ref="M18:M23"/>
    <mergeCell ref="N10:N13"/>
    <mergeCell ref="O10:O13"/>
    <mergeCell ref="K10:K13"/>
    <mergeCell ref="L10:L13"/>
    <mergeCell ref="M10:M13"/>
    <mergeCell ref="J14:J17"/>
    <mergeCell ref="K14:K17"/>
    <mergeCell ref="L14:L17"/>
    <mergeCell ref="M14:M17"/>
    <mergeCell ref="F18:F23"/>
    <mergeCell ref="L18:L23"/>
    <mergeCell ref="K18:K23"/>
    <mergeCell ref="J18:J23"/>
  </mergeCells>
  <conditionalFormatting sqref="R10:Z23">
    <cfRule type="cellIs" dxfId="41" priority="1" operator="equal">
      <formula>3</formula>
    </cfRule>
    <cfRule type="cellIs" dxfId="40" priority="2" operator="equal">
      <formula>2</formula>
    </cfRule>
    <cfRule type="cellIs" dxfId="39" priority="3" operator="equal">
      <formula>1</formula>
    </cfRule>
  </conditionalFormatting>
  <conditionalFormatting sqref="R25:Z29">
    <cfRule type="cellIs" dxfId="38" priority="25" operator="equal">
      <formula>3</formula>
    </cfRule>
    <cfRule type="cellIs" dxfId="37" priority="26" operator="equal">
      <formula>2</formula>
    </cfRule>
    <cfRule type="cellIs" dxfId="36" priority="27" operator="equal">
      <formula>1</formula>
    </cfRule>
  </conditionalFormatting>
  <conditionalFormatting sqref="R33:Z35">
    <cfRule type="cellIs" dxfId="35" priority="7" operator="equal">
      <formula>3</formula>
    </cfRule>
    <cfRule type="cellIs" dxfId="34" priority="8" operator="equal">
      <formula>2</formula>
    </cfRule>
    <cfRule type="cellIs" dxfId="33" priority="9" operator="equal">
      <formula>1</formula>
    </cfRule>
  </conditionalFormatting>
  <conditionalFormatting sqref="R38:Z39">
    <cfRule type="cellIs" dxfId="32" priority="4" operator="equal">
      <formula>3</formula>
    </cfRule>
    <cfRule type="cellIs" dxfId="31" priority="5" operator="equal">
      <formula>2</formula>
    </cfRule>
    <cfRule type="cellIs" dxfId="30" priority="6" operator="equal">
      <formula>1</formula>
    </cfRule>
  </conditionalFormatting>
  <pageMargins left="0.70866141732283505" right="0.70866141732283505" top="0.74803149606299202" bottom="0.74803149606299202" header="0.31496062992126" footer="0.31496062992126"/>
  <pageSetup paperSize="8" scale="17"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0E46B-8811-44A7-B96B-EF4B0913AE66}">
  <sheetPr>
    <tabColor theme="1" tint="0.499984740745262"/>
  </sheetPr>
  <dimension ref="B3:U27"/>
  <sheetViews>
    <sheetView showGridLines="0" view="pageBreakPreview" zoomScale="60" zoomScaleNormal="40" workbookViewId="0">
      <pane ySplit="9" topLeftCell="A10" activePane="bottomLeft" state="frozen"/>
      <selection pane="bottomLeft" sqref="A1:M27"/>
    </sheetView>
  </sheetViews>
  <sheetFormatPr baseColWidth="10" defaultColWidth="9.28515625" defaultRowHeight="15"/>
  <cols>
    <col min="1" max="1" width="5.7109375" customWidth="1"/>
    <col min="2" max="2" width="55.5703125" customWidth="1"/>
    <col min="3" max="3" width="72.28515625" customWidth="1"/>
    <col min="4" max="4" width="19.28515625" bestFit="1" customWidth="1"/>
    <col min="5" max="5" width="12" customWidth="1"/>
    <col min="6" max="6" width="12.5703125" customWidth="1"/>
    <col min="7" max="8" width="12" customWidth="1"/>
    <col min="9" max="13" width="13" customWidth="1"/>
    <col min="14" max="14" width="3.42578125" customWidth="1"/>
    <col min="15" max="15" width="18.42578125" customWidth="1"/>
    <col min="16" max="16" width="28.28515625" bestFit="1" customWidth="1"/>
    <col min="17" max="17" width="43.7109375" bestFit="1" customWidth="1"/>
    <col min="18" max="19" width="18.42578125" customWidth="1"/>
  </cols>
  <sheetData>
    <row r="3" spans="2:21" ht="35.25" customHeight="1">
      <c r="C3" s="662" t="s">
        <v>85</v>
      </c>
      <c r="D3" s="662"/>
      <c r="E3" s="662"/>
      <c r="F3" s="662"/>
      <c r="G3" s="662"/>
      <c r="H3" s="662"/>
      <c r="I3" s="662"/>
    </row>
    <row r="4" spans="2:21" ht="21.75" customHeight="1">
      <c r="C4" s="663" t="s">
        <v>3</v>
      </c>
      <c r="D4" s="663"/>
      <c r="E4" s="663"/>
      <c r="F4" s="663"/>
      <c r="G4" s="663"/>
      <c r="H4" s="663"/>
      <c r="I4" s="663"/>
    </row>
    <row r="5" spans="2:21" ht="15.75">
      <c r="B5" s="3"/>
      <c r="C5" s="664" t="s">
        <v>89</v>
      </c>
      <c r="D5" s="664"/>
      <c r="E5" s="664"/>
      <c r="F5" s="664"/>
      <c r="G5" s="664"/>
      <c r="H5" s="664"/>
      <c r="I5" s="664"/>
    </row>
    <row r="6" spans="2:21" ht="15.75" thickBot="1"/>
    <row r="7" spans="2:21" ht="38.1" customHeight="1">
      <c r="B7" s="439" t="s">
        <v>4</v>
      </c>
      <c r="C7" s="439" t="s">
        <v>6</v>
      </c>
      <c r="D7" s="590" t="s">
        <v>7</v>
      </c>
      <c r="E7" s="450" t="s">
        <v>381</v>
      </c>
      <c r="F7" s="451"/>
      <c r="G7" s="451"/>
      <c r="H7" s="451"/>
      <c r="I7" s="451"/>
      <c r="J7" s="451"/>
      <c r="K7" s="451"/>
      <c r="L7" s="451"/>
      <c r="M7" s="452"/>
    </row>
    <row r="8" spans="2:21" ht="20.25" customHeight="1">
      <c r="B8" s="440"/>
      <c r="C8" s="440"/>
      <c r="D8" s="591"/>
      <c r="E8" s="453"/>
      <c r="F8" s="454"/>
      <c r="G8" s="454"/>
      <c r="H8" s="454"/>
      <c r="I8" s="454"/>
      <c r="J8" s="454"/>
      <c r="K8" s="454"/>
      <c r="L8" s="454"/>
      <c r="M8" s="455"/>
      <c r="O8" s="1"/>
    </row>
    <row r="9" spans="2:21" s="2" customFormat="1" ht="66" customHeight="1" thickBot="1">
      <c r="B9" s="440"/>
      <c r="C9" s="440"/>
      <c r="D9" s="592"/>
      <c r="E9" s="237">
        <v>2022</v>
      </c>
      <c r="F9" s="34" t="s">
        <v>19</v>
      </c>
      <c r="G9" s="5">
        <v>2024</v>
      </c>
      <c r="H9" s="5" t="s">
        <v>92</v>
      </c>
      <c r="I9" s="34">
        <v>2026</v>
      </c>
      <c r="J9" s="34">
        <v>2027</v>
      </c>
      <c r="K9" s="5" t="s">
        <v>94</v>
      </c>
      <c r="L9" s="34">
        <v>2029</v>
      </c>
      <c r="M9" s="35">
        <v>2030</v>
      </c>
      <c r="O9" s="324"/>
      <c r="P9" s="324"/>
      <c r="Q9" s="324"/>
      <c r="R9" s="324"/>
      <c r="S9" s="324"/>
    </row>
    <row r="10" spans="2:21" ht="15" customHeight="1">
      <c r="B10" s="648" t="s">
        <v>555</v>
      </c>
      <c r="C10" s="186" t="s">
        <v>556</v>
      </c>
      <c r="D10" s="253" t="s">
        <v>562</v>
      </c>
      <c r="E10" s="238"/>
      <c r="F10" s="107"/>
      <c r="G10" s="107"/>
      <c r="H10" s="107"/>
      <c r="I10" s="107"/>
      <c r="J10" s="107"/>
      <c r="K10" s="107"/>
      <c r="L10" s="107"/>
      <c r="M10" s="280"/>
    </row>
    <row r="11" spans="2:21">
      <c r="B11" s="650"/>
      <c r="C11" s="186" t="s">
        <v>558</v>
      </c>
      <c r="D11" s="253" t="s">
        <v>562</v>
      </c>
      <c r="E11" s="283"/>
      <c r="F11" s="258"/>
      <c r="G11" s="258"/>
      <c r="H11" s="258"/>
      <c r="I11" s="258"/>
      <c r="J11" s="258"/>
      <c r="K11" s="258"/>
      <c r="L11" s="258"/>
      <c r="M11" s="273"/>
      <c r="O11" s="282"/>
      <c r="P11" s="282"/>
      <c r="Q11" s="282"/>
      <c r="R11" s="282"/>
      <c r="S11" s="282"/>
    </row>
    <row r="12" spans="2:21">
      <c r="B12" s="650"/>
      <c r="C12" s="186" t="s">
        <v>557</v>
      </c>
      <c r="D12" s="253" t="s">
        <v>562</v>
      </c>
      <c r="E12" s="283"/>
      <c r="F12" s="258"/>
      <c r="G12" s="258"/>
      <c r="H12" s="258"/>
      <c r="I12" s="258"/>
      <c r="J12" s="258"/>
      <c r="K12" s="258"/>
      <c r="L12" s="258"/>
      <c r="M12" s="273"/>
      <c r="O12" s="282"/>
      <c r="P12" s="282"/>
      <c r="Q12" s="282"/>
      <c r="R12" s="282"/>
      <c r="S12" s="282"/>
    </row>
    <row r="13" spans="2:21">
      <c r="B13" s="650"/>
      <c r="C13" s="186" t="s">
        <v>559</v>
      </c>
      <c r="D13" s="253" t="s">
        <v>562</v>
      </c>
      <c r="E13" s="283"/>
      <c r="F13" s="258"/>
      <c r="G13" s="258"/>
      <c r="H13" s="258"/>
      <c r="I13" s="258"/>
      <c r="J13" s="258"/>
      <c r="K13" s="258"/>
      <c r="L13" s="258"/>
      <c r="M13" s="273"/>
      <c r="O13" s="282"/>
      <c r="P13" s="282"/>
      <c r="Q13" s="282"/>
      <c r="R13" s="282"/>
      <c r="S13" s="282"/>
    </row>
    <row r="14" spans="2:21">
      <c r="B14" s="650"/>
      <c r="C14" s="186" t="s">
        <v>560</v>
      </c>
      <c r="D14" s="327" t="s">
        <v>562</v>
      </c>
      <c r="E14" s="283"/>
      <c r="F14" s="258"/>
      <c r="G14" s="258"/>
      <c r="H14" s="258"/>
      <c r="I14" s="258"/>
      <c r="J14" s="258"/>
      <c r="K14" s="258"/>
      <c r="L14" s="258"/>
      <c r="M14" s="273"/>
      <c r="O14" s="282"/>
      <c r="P14" s="282"/>
      <c r="Q14" s="282"/>
      <c r="R14" s="282"/>
      <c r="S14" s="282"/>
    </row>
    <row r="15" spans="2:21">
      <c r="B15" s="650"/>
      <c r="C15" s="186" t="s">
        <v>561</v>
      </c>
      <c r="D15" s="253" t="s">
        <v>562</v>
      </c>
      <c r="E15" s="283"/>
      <c r="F15" s="258"/>
      <c r="G15" s="258"/>
      <c r="H15" s="258"/>
      <c r="I15" s="258"/>
      <c r="J15" s="258"/>
      <c r="K15" s="258"/>
      <c r="L15" s="258"/>
      <c r="M15" s="273"/>
      <c r="O15" s="325"/>
      <c r="P15" s="282"/>
      <c r="Q15" s="326"/>
      <c r="R15" s="282"/>
      <c r="S15" s="282"/>
      <c r="U15" s="307"/>
    </row>
    <row r="16" spans="2:21" ht="15" customHeight="1" thickBot="1">
      <c r="B16" s="653"/>
      <c r="C16" s="19"/>
      <c r="D16" s="21"/>
      <c r="E16" s="19"/>
      <c r="F16" s="19"/>
      <c r="G16" s="19"/>
      <c r="H16" s="19"/>
      <c r="I16" s="19"/>
      <c r="J16" s="19"/>
      <c r="K16" s="19"/>
      <c r="L16" s="19"/>
      <c r="M16" s="21"/>
      <c r="O16" s="282"/>
      <c r="P16" s="282"/>
      <c r="Q16" s="282"/>
      <c r="R16" s="282"/>
      <c r="S16" s="282"/>
    </row>
    <row r="17" spans="2:13">
      <c r="B17" s="22"/>
      <c r="C17" s="28"/>
      <c r="D17" s="7"/>
    </row>
    <row r="18" spans="2:13" ht="15" customHeight="1">
      <c r="B18" s="29"/>
      <c r="C18" s="477" t="s">
        <v>18</v>
      </c>
      <c r="E18" s="647"/>
      <c r="F18" s="647"/>
      <c r="G18" s="647"/>
      <c r="H18" s="647"/>
      <c r="I18" s="647"/>
      <c r="J18" s="647"/>
      <c r="K18" s="647"/>
      <c r="L18" s="647"/>
      <c r="M18" s="647"/>
    </row>
    <row r="19" spans="2:13">
      <c r="B19" s="29"/>
      <c r="C19" s="478"/>
      <c r="E19" s="647"/>
      <c r="F19" s="647"/>
      <c r="G19" s="647"/>
      <c r="H19" s="647"/>
      <c r="I19" s="647"/>
      <c r="J19" s="647"/>
      <c r="K19" s="647"/>
      <c r="L19" s="647"/>
      <c r="M19" s="647"/>
    </row>
    <row r="20" spans="2:13">
      <c r="B20" s="29"/>
      <c r="C20" s="32"/>
      <c r="E20" s="43"/>
      <c r="F20" s="43"/>
      <c r="G20" s="43"/>
      <c r="H20" s="43"/>
      <c r="I20" s="43"/>
      <c r="J20" s="43"/>
      <c r="K20" s="43"/>
      <c r="L20" s="43"/>
      <c r="M20" s="43"/>
    </row>
    <row r="21" spans="2:13">
      <c r="B21" s="29"/>
      <c r="C21" s="94" t="s">
        <v>82</v>
      </c>
      <c r="D21" s="89" t="s">
        <v>7</v>
      </c>
      <c r="E21" s="97" t="s">
        <v>90</v>
      </c>
      <c r="F21" s="97" t="s">
        <v>19</v>
      </c>
      <c r="G21" s="97" t="s">
        <v>91</v>
      </c>
      <c r="H21" s="97" t="s">
        <v>92</v>
      </c>
      <c r="I21" s="97" t="s">
        <v>20</v>
      </c>
      <c r="J21" s="97" t="s">
        <v>93</v>
      </c>
      <c r="K21" s="97" t="s">
        <v>94</v>
      </c>
      <c r="L21" s="97" t="s">
        <v>95</v>
      </c>
      <c r="M21" s="97" t="s">
        <v>96</v>
      </c>
    </row>
    <row r="22" spans="2:13">
      <c r="B22" s="29"/>
      <c r="C22" s="93" t="s">
        <v>556</v>
      </c>
      <c r="D22" s="44" t="s">
        <v>562</v>
      </c>
      <c r="E22" s="315">
        <f t="shared" ref="E22:E27" si="0">E10</f>
        <v>0</v>
      </c>
      <c r="F22" s="315">
        <f t="shared" ref="F22:M22" si="1">F10</f>
        <v>0</v>
      </c>
      <c r="G22" s="315">
        <f t="shared" si="1"/>
        <v>0</v>
      </c>
      <c r="H22" s="315">
        <f t="shared" si="1"/>
        <v>0</v>
      </c>
      <c r="I22" s="315">
        <f t="shared" si="1"/>
        <v>0</v>
      </c>
      <c r="J22" s="315">
        <f t="shared" si="1"/>
        <v>0</v>
      </c>
      <c r="K22" s="315">
        <f t="shared" si="1"/>
        <v>0</v>
      </c>
      <c r="L22" s="315">
        <f t="shared" si="1"/>
        <v>0</v>
      </c>
      <c r="M22" s="315">
        <f t="shared" si="1"/>
        <v>0</v>
      </c>
    </row>
    <row r="23" spans="2:13">
      <c r="B23" s="29"/>
      <c r="C23" s="93" t="s">
        <v>558</v>
      </c>
      <c r="D23" s="44" t="s">
        <v>562</v>
      </c>
      <c r="E23" s="315">
        <f t="shared" si="0"/>
        <v>0</v>
      </c>
      <c r="F23" s="315">
        <f t="shared" ref="F23:M23" si="2">F11</f>
        <v>0</v>
      </c>
      <c r="G23" s="315">
        <f t="shared" si="2"/>
        <v>0</v>
      </c>
      <c r="H23" s="315">
        <f t="shared" si="2"/>
        <v>0</v>
      </c>
      <c r="I23" s="315">
        <f t="shared" si="2"/>
        <v>0</v>
      </c>
      <c r="J23" s="315">
        <f t="shared" si="2"/>
        <v>0</v>
      </c>
      <c r="K23" s="315">
        <f t="shared" si="2"/>
        <v>0</v>
      </c>
      <c r="L23" s="315">
        <f t="shared" si="2"/>
        <v>0</v>
      </c>
      <c r="M23" s="315">
        <f t="shared" si="2"/>
        <v>0</v>
      </c>
    </row>
    <row r="24" spans="2:13">
      <c r="B24" s="29"/>
      <c r="C24" s="93" t="s">
        <v>557</v>
      </c>
      <c r="D24" s="44" t="s">
        <v>562</v>
      </c>
      <c r="E24" s="315">
        <f t="shared" si="0"/>
        <v>0</v>
      </c>
      <c r="F24" s="315">
        <f t="shared" ref="F24:M24" si="3">F12</f>
        <v>0</v>
      </c>
      <c r="G24" s="315">
        <f t="shared" si="3"/>
        <v>0</v>
      </c>
      <c r="H24" s="315">
        <f t="shared" si="3"/>
        <v>0</v>
      </c>
      <c r="I24" s="315">
        <f t="shared" si="3"/>
        <v>0</v>
      </c>
      <c r="J24" s="315">
        <f t="shared" si="3"/>
        <v>0</v>
      </c>
      <c r="K24" s="315">
        <f t="shared" si="3"/>
        <v>0</v>
      </c>
      <c r="L24" s="315">
        <f t="shared" si="3"/>
        <v>0</v>
      </c>
      <c r="M24" s="315">
        <f t="shared" si="3"/>
        <v>0</v>
      </c>
    </row>
    <row r="25" spans="2:13">
      <c r="B25" s="29"/>
      <c r="C25" s="93" t="s">
        <v>559</v>
      </c>
      <c r="D25" s="44" t="s">
        <v>562</v>
      </c>
      <c r="E25" s="315">
        <f t="shared" si="0"/>
        <v>0</v>
      </c>
      <c r="F25" s="315">
        <f t="shared" ref="F25:M25" si="4">F13</f>
        <v>0</v>
      </c>
      <c r="G25" s="315">
        <f t="shared" si="4"/>
        <v>0</v>
      </c>
      <c r="H25" s="315">
        <f t="shared" si="4"/>
        <v>0</v>
      </c>
      <c r="I25" s="315">
        <f t="shared" si="4"/>
        <v>0</v>
      </c>
      <c r="J25" s="315">
        <f t="shared" si="4"/>
        <v>0</v>
      </c>
      <c r="K25" s="315">
        <f t="shared" si="4"/>
        <v>0</v>
      </c>
      <c r="L25" s="315">
        <f t="shared" si="4"/>
        <v>0</v>
      </c>
      <c r="M25" s="315">
        <f t="shared" si="4"/>
        <v>0</v>
      </c>
    </row>
    <row r="26" spans="2:13">
      <c r="B26" s="29"/>
      <c r="C26" s="93" t="s">
        <v>560</v>
      </c>
      <c r="D26" s="44" t="s">
        <v>562</v>
      </c>
      <c r="E26" s="47">
        <f t="shared" si="0"/>
        <v>0</v>
      </c>
      <c r="F26" s="47">
        <f t="shared" ref="F26:M26" si="5">F14</f>
        <v>0</v>
      </c>
      <c r="G26" s="47">
        <f t="shared" si="5"/>
        <v>0</v>
      </c>
      <c r="H26" s="47">
        <f t="shared" si="5"/>
        <v>0</v>
      </c>
      <c r="I26" s="47">
        <f t="shared" si="5"/>
        <v>0</v>
      </c>
      <c r="J26" s="47">
        <f t="shared" si="5"/>
        <v>0</v>
      </c>
      <c r="K26" s="47">
        <f t="shared" si="5"/>
        <v>0</v>
      </c>
      <c r="L26" s="47">
        <f t="shared" si="5"/>
        <v>0</v>
      </c>
      <c r="M26" s="47">
        <f t="shared" si="5"/>
        <v>0</v>
      </c>
    </row>
    <row r="27" spans="2:13">
      <c r="B27" s="29"/>
      <c r="C27" s="95" t="s">
        <v>561</v>
      </c>
      <c r="D27" s="88" t="s">
        <v>562</v>
      </c>
      <c r="E27" s="96">
        <f t="shared" si="0"/>
        <v>0</v>
      </c>
      <c r="F27" s="96">
        <f t="shared" ref="F27:M27" si="6">F15</f>
        <v>0</v>
      </c>
      <c r="G27" s="96">
        <f t="shared" si="6"/>
        <v>0</v>
      </c>
      <c r="H27" s="96">
        <f t="shared" si="6"/>
        <v>0</v>
      </c>
      <c r="I27" s="96">
        <f t="shared" si="6"/>
        <v>0</v>
      </c>
      <c r="J27" s="96">
        <f t="shared" si="6"/>
        <v>0</v>
      </c>
      <c r="K27" s="96">
        <f t="shared" si="6"/>
        <v>0</v>
      </c>
      <c r="L27" s="96">
        <f t="shared" si="6"/>
        <v>0</v>
      </c>
      <c r="M27" s="96">
        <f t="shared" si="6"/>
        <v>0</v>
      </c>
    </row>
  </sheetData>
  <sheetProtection sheet="1" insertColumns="0" insertRows="0" autoFilter="0"/>
  <mergeCells count="10">
    <mergeCell ref="C3:I3"/>
    <mergeCell ref="C4:I4"/>
    <mergeCell ref="C5:I5"/>
    <mergeCell ref="C18:C19"/>
    <mergeCell ref="E18:M19"/>
    <mergeCell ref="B10:B16"/>
    <mergeCell ref="C7:C9"/>
    <mergeCell ref="D7:D9"/>
    <mergeCell ref="E7:M8"/>
    <mergeCell ref="B7:B9"/>
  </mergeCells>
  <conditionalFormatting sqref="E10:M15">
    <cfRule type="cellIs" dxfId="29" priority="13" operator="equal">
      <formula>3</formula>
    </cfRule>
    <cfRule type="cellIs" dxfId="28" priority="14" operator="equal">
      <formula>2</formula>
    </cfRule>
    <cfRule type="cellIs" dxfId="27" priority="15" operator="equal">
      <formula>1</formula>
    </cfRule>
  </conditionalFormatting>
  <pageMargins left="0.70866141732283505" right="0.70866141732283505" top="0.74803149606299202" bottom="0.74803149606299202" header="0.31496062992126" footer="0.31496062992126"/>
  <pageSetup paperSize="8" scale="27"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3989D-DEE7-4126-8794-9FB893967519}">
  <dimension ref="B3:MJ249"/>
  <sheetViews>
    <sheetView view="pageBreakPreview" topLeftCell="A11" zoomScale="20" zoomScaleNormal="40" zoomScaleSheetLayoutView="20" workbookViewId="0">
      <selection activeCell="BE208" sqref="BE208"/>
    </sheetView>
  </sheetViews>
  <sheetFormatPr baseColWidth="10" defaultColWidth="9.28515625" defaultRowHeight="15"/>
  <cols>
    <col min="1" max="1" width="5.7109375" customWidth="1"/>
    <col min="2" max="3" width="55.5703125" customWidth="1"/>
    <col min="4" max="4" width="65.7109375" customWidth="1"/>
    <col min="5" max="5" width="18.5703125" customWidth="1"/>
    <col min="6" max="6" width="62.28515625" customWidth="1"/>
    <col min="7" max="9" width="21.28515625" customWidth="1"/>
    <col min="10" max="10" width="36.5703125" customWidth="1"/>
    <col min="11" max="11" width="21.28515625" customWidth="1"/>
    <col min="12" max="12" width="25.7109375" customWidth="1"/>
    <col min="13" max="13" width="72.28515625" customWidth="1"/>
    <col min="14" max="14" width="15.5703125" customWidth="1"/>
    <col min="15" max="15" width="14.42578125" customWidth="1"/>
    <col min="16" max="16" width="10.5703125" customWidth="1"/>
    <col min="17" max="17" width="12.5703125" customWidth="1"/>
    <col min="18" max="19" width="10.5703125" customWidth="1"/>
    <col min="20" max="20" width="13" customWidth="1"/>
    <col min="21" max="21" width="3.42578125" customWidth="1"/>
    <col min="22" max="325" width="10.42578125" customWidth="1"/>
    <col min="326" max="327" width="9.28515625" customWidth="1"/>
    <col min="328" max="328" width="22" customWidth="1"/>
    <col min="329" max="329" width="59.7109375" customWidth="1"/>
    <col min="330" max="330" width="47.7109375" customWidth="1"/>
    <col min="331" max="331" width="46" customWidth="1"/>
    <col min="332" max="332" width="56.7109375" customWidth="1"/>
    <col min="333" max="333" width="71.5703125" customWidth="1"/>
    <col min="334" max="334" width="64.28515625" customWidth="1"/>
    <col min="335" max="335" width="56.5703125" customWidth="1"/>
    <col min="336" max="336" width="33.28515625" customWidth="1"/>
    <col min="337" max="337" width="49.7109375" customWidth="1"/>
    <col min="338" max="338" width="32.28515625" customWidth="1"/>
    <col min="339" max="339" width="43.42578125" customWidth="1"/>
    <col min="340" max="340" width="49.7109375" customWidth="1"/>
    <col min="341" max="341" width="37.28515625" customWidth="1"/>
    <col min="342" max="342" width="45.28515625" customWidth="1"/>
    <col min="343" max="343" width="31.5703125" customWidth="1"/>
    <col min="344" max="344" width="34.28515625" customWidth="1"/>
    <col min="345" max="345" width="32" customWidth="1"/>
    <col min="346" max="346" width="36.5703125" customWidth="1"/>
    <col min="347" max="347" width="9.28515625" customWidth="1"/>
    <col min="348" max="348" width="39.5703125" customWidth="1"/>
    <col min="349" max="357" width="9.28515625" customWidth="1"/>
  </cols>
  <sheetData>
    <row r="3" spans="2:348" ht="35.25" customHeight="1">
      <c r="D3" s="403" t="s">
        <v>85</v>
      </c>
      <c r="E3" s="404"/>
      <c r="F3" s="404"/>
      <c r="G3" s="404"/>
      <c r="H3" s="404"/>
      <c r="I3" s="404"/>
      <c r="J3" s="404"/>
      <c r="K3" s="404"/>
      <c r="L3" s="404"/>
      <c r="M3" s="404"/>
      <c r="N3" s="518"/>
    </row>
    <row r="4" spans="2:348" ht="21.75" customHeight="1">
      <c r="D4" s="406" t="s">
        <v>3</v>
      </c>
      <c r="E4" s="407"/>
      <c r="F4" s="407"/>
      <c r="G4" s="407"/>
      <c r="H4" s="407"/>
      <c r="I4" s="407"/>
      <c r="J4" s="407"/>
      <c r="K4" s="407"/>
      <c r="L4" s="407"/>
      <c r="M4" s="407"/>
      <c r="N4" s="519"/>
    </row>
    <row r="5" spans="2:348" ht="15.75">
      <c r="B5" s="3"/>
      <c r="C5" s="3"/>
      <c r="D5" s="133" t="s">
        <v>105</v>
      </c>
      <c r="E5" s="520"/>
      <c r="F5" s="520"/>
      <c r="G5" s="520"/>
      <c r="H5" s="520"/>
      <c r="I5" s="520"/>
      <c r="J5" s="520"/>
      <c r="K5" s="520"/>
      <c r="L5" s="520"/>
      <c r="M5" s="521"/>
      <c r="N5" s="522"/>
    </row>
    <row r="7" spans="2:348" ht="21.75" thickBot="1">
      <c r="LX7" s="33"/>
      <c r="MD7" s="368"/>
      <c r="ME7" s="368"/>
      <c r="MF7" s="368"/>
      <c r="MG7" s="368"/>
      <c r="MH7" s="368"/>
    </row>
    <row r="8" spans="2:348" ht="30.75" hidden="1" thickBot="1">
      <c r="B8" s="83" t="s">
        <v>42</v>
      </c>
      <c r="C8" s="84" t="s">
        <v>43</v>
      </c>
      <c r="LX8" s="33"/>
    </row>
    <row r="9" spans="2:348" ht="30">
      <c r="B9" s="85" t="s">
        <v>41</v>
      </c>
      <c r="C9" s="114">
        <v>2028</v>
      </c>
      <c r="LX9" s="33"/>
    </row>
    <row r="10" spans="2:348" s="2" customFormat="1" ht="50.25" customHeight="1">
      <c r="B10" s="75" t="s">
        <v>28</v>
      </c>
      <c r="C10" s="56"/>
      <c r="D10" s="56"/>
      <c r="E10" s="65"/>
      <c r="F10" s="56"/>
      <c r="G10" s="65"/>
      <c r="H10" s="65"/>
      <c r="I10" s="56"/>
      <c r="J10" s="65"/>
      <c r="K10" s="56"/>
      <c r="L10" s="65"/>
      <c r="M10" s="56"/>
      <c r="N10" s="55"/>
      <c r="O10" s="55"/>
      <c r="P10" s="55"/>
      <c r="Q10" s="56"/>
      <c r="R10" s="55"/>
      <c r="S10" s="55"/>
      <c r="T10" s="56"/>
      <c r="U10" s="57"/>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3"/>
      <c r="GI10" s="33"/>
      <c r="GJ10" s="33"/>
      <c r="GK10" s="33"/>
      <c r="GL10" s="33"/>
      <c r="GM10" s="33"/>
      <c r="GN10" s="33"/>
      <c r="GO10" s="33"/>
      <c r="GP10" s="33"/>
      <c r="GQ10" s="33"/>
      <c r="GR10" s="33"/>
      <c r="GS10" s="33"/>
      <c r="GT10" s="33"/>
      <c r="GU10" s="33"/>
      <c r="GV10" s="33"/>
      <c r="GW10" s="33"/>
      <c r="GX10" s="33"/>
      <c r="GY10" s="33"/>
      <c r="GZ10" s="33"/>
      <c r="HA10" s="33"/>
      <c r="HB10" s="33"/>
      <c r="HC10" s="33"/>
      <c r="HD10" s="33"/>
      <c r="HE10" s="33"/>
      <c r="HF10" s="33"/>
      <c r="HG10" s="33"/>
      <c r="HH10" s="33"/>
      <c r="HI10" s="33"/>
      <c r="HJ10" s="33"/>
      <c r="HK10" s="33"/>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33"/>
      <c r="IW10" s="33"/>
      <c r="IX10" s="33"/>
      <c r="IY10" s="33"/>
      <c r="IZ10" s="33"/>
      <c r="JA10" s="33"/>
      <c r="JB10" s="33"/>
      <c r="JC10" s="33"/>
      <c r="JD10" s="33"/>
      <c r="JE10" s="33"/>
      <c r="JF10" s="33"/>
      <c r="JG10" s="33"/>
      <c r="JH10" s="33"/>
      <c r="JI10" s="33"/>
      <c r="JJ10" s="33"/>
      <c r="JK10" s="33"/>
      <c r="JL10" s="33"/>
      <c r="JM10" s="33"/>
      <c r="JN10" s="33"/>
      <c r="JO10" s="33"/>
      <c r="JP10" s="33"/>
      <c r="JQ10" s="33"/>
      <c r="JR10" s="33"/>
      <c r="JS10" s="33"/>
      <c r="JT10" s="33"/>
      <c r="JU10" s="33"/>
      <c r="JV10" s="33"/>
      <c r="JW10" s="33"/>
      <c r="JX10" s="33"/>
      <c r="JY10" s="33"/>
      <c r="JZ10" s="33"/>
      <c r="KA10" s="33"/>
      <c r="KB10" s="33"/>
      <c r="KC10" s="33"/>
      <c r="KD10" s="33"/>
      <c r="KE10" s="33"/>
      <c r="KF10" s="33"/>
      <c r="KG10" s="33"/>
      <c r="KH10" s="33"/>
      <c r="KI10" s="33"/>
      <c r="KJ10" s="33"/>
      <c r="KK10" s="33"/>
      <c r="KL10" s="33"/>
      <c r="KM10" s="33"/>
      <c r="KN10" s="33"/>
      <c r="KO10" s="33"/>
      <c r="KP10" s="33"/>
      <c r="KQ10" s="33"/>
      <c r="KR10" s="33"/>
      <c r="KS10" s="33"/>
      <c r="KT10" s="33"/>
      <c r="KU10" s="33"/>
      <c r="KV10" s="33"/>
      <c r="KW10" s="33"/>
      <c r="KX10" s="33"/>
      <c r="KY10" s="33"/>
      <c r="KZ10" s="33"/>
      <c r="LA10" s="33"/>
      <c r="LB10" s="33"/>
      <c r="LC10" s="33"/>
      <c r="LD10" s="33"/>
      <c r="LE10" s="33"/>
      <c r="LF10" s="33"/>
      <c r="LG10" s="33"/>
      <c r="LH10" s="33"/>
      <c r="LI10" s="33"/>
      <c r="LJ10" s="33"/>
      <c r="LK10" s="33"/>
      <c r="LL10" s="33"/>
      <c r="LM10"/>
      <c r="LQ10" s="298" t="s">
        <v>31</v>
      </c>
      <c r="LX10" s="33" t="s">
        <v>40</v>
      </c>
    </row>
    <row r="11" spans="2:348" s="2" customFormat="1" ht="50.25" customHeight="1">
      <c r="B11" s="56"/>
      <c r="C11" s="56"/>
      <c r="D11" s="56"/>
      <c r="E11" s="74"/>
      <c r="F11" s="73"/>
      <c r="G11" s="74"/>
      <c r="H11" s="74"/>
      <c r="I11" s="73"/>
      <c r="J11" s="74"/>
      <c r="K11" s="56"/>
      <c r="L11" s="65"/>
      <c r="M11" s="56"/>
      <c r="N11" s="55"/>
      <c r="O11" s="55"/>
      <c r="P11" s="55"/>
      <c r="Q11" s="56"/>
      <c r="R11" s="55"/>
      <c r="S11" s="55"/>
      <c r="T11" s="56"/>
      <c r="U11" s="57"/>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3"/>
      <c r="IW11" s="33"/>
      <c r="IX11" s="33"/>
      <c r="IY11" s="33"/>
      <c r="IZ11" s="33"/>
      <c r="JA11" s="33"/>
      <c r="JB11" s="33"/>
      <c r="JC11" s="33"/>
      <c r="JD11" s="33"/>
      <c r="JE11" s="33"/>
      <c r="JF11" s="33"/>
      <c r="JG11" s="33"/>
      <c r="JH11" s="33"/>
      <c r="JI11" s="33"/>
      <c r="JJ11" s="33"/>
      <c r="JK11" s="33"/>
      <c r="JL11" s="33"/>
      <c r="JM11" s="33"/>
      <c r="JN11" s="33"/>
      <c r="JO11" s="33"/>
      <c r="JP11" s="33"/>
      <c r="JQ11" s="33"/>
      <c r="JR11" s="33"/>
      <c r="JS11" s="33"/>
      <c r="JT11" s="33"/>
      <c r="JU11" s="33"/>
      <c r="JV11" s="33"/>
      <c r="JW11" s="33"/>
      <c r="JX11" s="33"/>
      <c r="JY11" s="33"/>
      <c r="JZ11" s="33"/>
      <c r="KA11" s="33"/>
      <c r="KB11" s="33"/>
      <c r="KC11" s="33"/>
      <c r="KD11" s="33"/>
      <c r="KE11" s="33"/>
      <c r="KF11" s="33"/>
      <c r="KG11" s="33"/>
      <c r="KH11" s="33"/>
      <c r="KI11" s="33"/>
      <c r="KJ11" s="33"/>
      <c r="KK11" s="33"/>
      <c r="KL11" s="33"/>
      <c r="KM11" s="33"/>
      <c r="KN11" s="33"/>
      <c r="KO11" s="33"/>
      <c r="KP11" s="33"/>
      <c r="KQ11" s="33"/>
      <c r="KR11" s="33"/>
      <c r="KS11" s="33"/>
      <c r="KT11" s="33"/>
      <c r="KU11" s="33"/>
      <c r="KV11" s="33"/>
      <c r="KW11" s="33"/>
      <c r="KX11" s="33"/>
      <c r="KY11" s="33"/>
      <c r="KZ11" s="33"/>
      <c r="LA11" s="33"/>
      <c r="LB11" s="33"/>
      <c r="LC11" s="33"/>
      <c r="LD11" s="33"/>
      <c r="LE11" s="33"/>
      <c r="LF11" s="33"/>
      <c r="LG11" s="33"/>
      <c r="LH11" s="33"/>
      <c r="LI11" s="33"/>
      <c r="LJ11" s="33"/>
      <c r="LK11" s="33"/>
      <c r="LL11" s="33"/>
      <c r="LM11"/>
      <c r="LP11" s="33" t="s">
        <v>41</v>
      </c>
      <c r="LQ11" s="33" t="s">
        <v>33</v>
      </c>
      <c r="LR11" s="2" t="s">
        <v>572</v>
      </c>
      <c r="LS11" s="2" t="s">
        <v>573</v>
      </c>
      <c r="LT11" s="2" t="s">
        <v>574</v>
      </c>
      <c r="LU11" s="2" t="s">
        <v>575</v>
      </c>
      <c r="LV11" s="2" t="s">
        <v>576</v>
      </c>
      <c r="LX11" s="300" t="s">
        <v>41</v>
      </c>
      <c r="LY11" s="33" t="s">
        <v>45</v>
      </c>
      <c r="LZ11" s="33" t="s">
        <v>46</v>
      </c>
      <c r="MA11" s="33" t="s">
        <v>47</v>
      </c>
      <c r="MB11" s="33" t="s">
        <v>48</v>
      </c>
      <c r="MC11" s="33" t="s">
        <v>49</v>
      </c>
      <c r="MD11" s="300" t="s">
        <v>50</v>
      </c>
      <c r="ME11" s="33" t="s">
        <v>51</v>
      </c>
      <c r="MF11" s="33" t="s">
        <v>52</v>
      </c>
      <c r="MG11" s="33" t="s">
        <v>53</v>
      </c>
      <c r="MH11" s="304" t="s">
        <v>54</v>
      </c>
      <c r="MJ11" s="2" t="s">
        <v>83</v>
      </c>
    </row>
    <row r="12" spans="2:348" s="2" customFormat="1" ht="50.25" customHeight="1">
      <c r="B12" s="56"/>
      <c r="C12" s="56"/>
      <c r="D12" s="56"/>
      <c r="E12" s="65"/>
      <c r="F12" s="56"/>
      <c r="G12" s="65"/>
      <c r="H12" s="65"/>
      <c r="I12" s="56"/>
      <c r="J12" s="65"/>
      <c r="K12" s="56"/>
      <c r="L12" s="65"/>
      <c r="M12" s="56"/>
      <c r="N12" s="55"/>
      <c r="O12" s="55"/>
      <c r="P12" s="55"/>
      <c r="Q12" s="56"/>
      <c r="R12" s="55"/>
      <c r="S12" s="55"/>
      <c r="T12" s="56"/>
      <c r="U12" s="57"/>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c r="GD12" s="33"/>
      <c r="GE12" s="33"/>
      <c r="GF12" s="33"/>
      <c r="GG12" s="33"/>
      <c r="GH12" s="33"/>
      <c r="GI12" s="33"/>
      <c r="GJ12" s="33"/>
      <c r="GK12" s="33"/>
      <c r="GL12" s="33"/>
      <c r="GM12" s="33"/>
      <c r="GN12" s="33"/>
      <c r="GO12" s="33"/>
      <c r="GP12" s="33"/>
      <c r="GQ12" s="33"/>
      <c r="GR12" s="33"/>
      <c r="GS12" s="33"/>
      <c r="GT12" s="33"/>
      <c r="GU12" s="33"/>
      <c r="GV12" s="33"/>
      <c r="GW12" s="33"/>
      <c r="GX12" s="33"/>
      <c r="GY12" s="33"/>
      <c r="GZ12" s="33"/>
      <c r="HA12" s="33"/>
      <c r="HB12" s="33"/>
      <c r="HC12" s="33"/>
      <c r="HD12" s="33"/>
      <c r="HE12" s="33"/>
      <c r="HF12" s="33"/>
      <c r="HG12" s="33"/>
      <c r="HH12" s="33"/>
      <c r="HI12" s="33"/>
      <c r="HJ12" s="33"/>
      <c r="HK12" s="33"/>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33"/>
      <c r="IW12" s="33"/>
      <c r="IX12" s="33"/>
      <c r="IY12" s="33"/>
      <c r="IZ12" s="33"/>
      <c r="JA12" s="33"/>
      <c r="JB12" s="33"/>
      <c r="JC12" s="33"/>
      <c r="JD12" s="33"/>
      <c r="JE12" s="33"/>
      <c r="JF12" s="33"/>
      <c r="JG12" s="33"/>
      <c r="JH12" s="33"/>
      <c r="JI12" s="33"/>
      <c r="JJ12" s="33"/>
      <c r="JK12" s="33"/>
      <c r="JL12" s="33"/>
      <c r="JM12" s="33"/>
      <c r="JN12" s="33"/>
      <c r="JO12" s="33"/>
      <c r="JP12" s="33"/>
      <c r="JQ12" s="33"/>
      <c r="JR12" s="33"/>
      <c r="JS12" s="33"/>
      <c r="JT12" s="33"/>
      <c r="JU12" s="33"/>
      <c r="JV12" s="33"/>
      <c r="JW12" s="33"/>
      <c r="JX12" s="33"/>
      <c r="JY12" s="33"/>
      <c r="JZ12" s="33"/>
      <c r="KA12" s="33"/>
      <c r="KB12" s="33"/>
      <c r="KC12" s="33"/>
      <c r="KD12" s="33"/>
      <c r="KE12" s="33"/>
      <c r="KF12" s="33"/>
      <c r="KG12" s="33"/>
      <c r="KH12" s="33"/>
      <c r="KI12" s="33"/>
      <c r="KJ12" s="33"/>
      <c r="KK12" s="33"/>
      <c r="KL12" s="33"/>
      <c r="KM12" s="33"/>
      <c r="KN12" s="33"/>
      <c r="KO12" s="33"/>
      <c r="KP12" s="33"/>
      <c r="KQ12" s="33"/>
      <c r="KR12" s="33"/>
      <c r="KS12" s="33"/>
      <c r="KT12" s="33"/>
      <c r="KU12" s="33"/>
      <c r="KV12" s="33"/>
      <c r="KW12" s="33"/>
      <c r="KX12" s="33"/>
      <c r="KY12" s="33"/>
      <c r="KZ12" s="33"/>
      <c r="LA12" s="33"/>
      <c r="LB12" s="33"/>
      <c r="LC12" s="33"/>
      <c r="LD12" s="33"/>
      <c r="LE12" s="33"/>
      <c r="LF12" s="33"/>
      <c r="LG12" s="33"/>
      <c r="LH12" s="33"/>
      <c r="LI12" s="33"/>
      <c r="LJ12" s="33"/>
      <c r="LK12" s="33"/>
      <c r="LL12" s="33"/>
      <c r="LM12"/>
      <c r="LP12" s="2">
        <v>2015</v>
      </c>
      <c r="LQ12" s="323">
        <f>SUM(suiviparsecteur[[#This Row],[Résidentiel réel]:[Agriculture réel]])</f>
        <v>599.73</v>
      </c>
      <c r="LR12" s="323">
        <f>consoenergie[[#This Row],[Consommations : objectif réglementaire]]</f>
        <v>599.73</v>
      </c>
      <c r="LS12" s="323">
        <f>consoenergie[[#This Row],[Consommations : objectif stratégie]]</f>
        <v>599.73</v>
      </c>
      <c r="LT12" s="323">
        <v>27.7</v>
      </c>
      <c r="LU12" s="323">
        <v>27.7</v>
      </c>
      <c r="LV12" s="323">
        <v>27.7</v>
      </c>
      <c r="LX12" s="303">
        <v>2015</v>
      </c>
      <c r="LY12" s="299">
        <f>157.4</f>
        <v>157.4</v>
      </c>
      <c r="LZ12" s="299">
        <v>57.5</v>
      </c>
      <c r="MA12" s="299">
        <v>215.5</v>
      </c>
      <c r="MB12" s="299">
        <v>166.1</v>
      </c>
      <c r="MC12" s="299">
        <v>3.23</v>
      </c>
      <c r="MD12" s="320">
        <f>suiviparsecteur[[#This Row],[Résidentiel réel]]</f>
        <v>157.4</v>
      </c>
      <c r="ME12" s="321">
        <f>suiviparsecteur[[#This Row],[Tertiaire réel]]</f>
        <v>57.5</v>
      </c>
      <c r="MF12" s="321">
        <f>suiviparsecteur[[#This Row],[Transport réel réel]]</f>
        <v>215.5</v>
      </c>
      <c r="MG12" s="321">
        <f>suiviparsecteur[[#This Row],[Industrie réel]]</f>
        <v>166.1</v>
      </c>
      <c r="MH12" s="322">
        <f>suiviparsecteur[[#This Row],[Agriculture réel]]</f>
        <v>3.23</v>
      </c>
    </row>
    <row r="13" spans="2:348" s="2" customFormat="1" ht="21">
      <c r="B13" s="56"/>
      <c r="C13" s="56"/>
      <c r="D13" s="56"/>
      <c r="E13" s="65"/>
      <c r="F13" s="56"/>
      <c r="G13" s="65"/>
      <c r="H13" s="65"/>
      <c r="I13" s="56"/>
      <c r="J13" s="65"/>
      <c r="K13" s="56"/>
      <c r="L13" s="65"/>
      <c r="M13" s="56"/>
      <c r="N13" s="55"/>
      <c r="O13" s="55"/>
      <c r="P13" s="55"/>
      <c r="Q13" s="56"/>
      <c r="R13" s="55"/>
      <c r="S13" s="55"/>
      <c r="T13" s="56"/>
      <c r="U13" s="57"/>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3"/>
      <c r="IW13" s="33"/>
      <c r="IX13" s="33"/>
      <c r="IY13" s="33"/>
      <c r="IZ13" s="33"/>
      <c r="JA13" s="33"/>
      <c r="JB13" s="33"/>
      <c r="JC13" s="33"/>
      <c r="JD13" s="33"/>
      <c r="JE13" s="33"/>
      <c r="JF13" s="33"/>
      <c r="JG13" s="33"/>
      <c r="JH13" s="33"/>
      <c r="JI13" s="33"/>
      <c r="JJ13" s="33"/>
      <c r="JK13" s="33"/>
      <c r="JL13" s="33"/>
      <c r="JM13" s="33"/>
      <c r="JN13" s="33"/>
      <c r="JO13" s="33"/>
      <c r="JP13" s="33"/>
      <c r="JQ13" s="33"/>
      <c r="JR13" s="33"/>
      <c r="JS13" s="33"/>
      <c r="JT13" s="33"/>
      <c r="JU13" s="33"/>
      <c r="JV13" s="33"/>
      <c r="JW13" s="33"/>
      <c r="JX13" s="33"/>
      <c r="JY13" s="33"/>
      <c r="JZ13" s="33"/>
      <c r="KA13" s="33"/>
      <c r="KB13" s="33"/>
      <c r="KC13" s="33"/>
      <c r="KD13" s="33"/>
      <c r="KE13" s="33"/>
      <c r="KF13" s="33"/>
      <c r="KG13" s="33"/>
      <c r="KH13" s="33"/>
      <c r="KI13" s="33"/>
      <c r="KJ13" s="33"/>
      <c r="KK13" s="33"/>
      <c r="KL13" s="33"/>
      <c r="KM13" s="33"/>
      <c r="KN13" s="33"/>
      <c r="KO13" s="33"/>
      <c r="KP13" s="33"/>
      <c r="KQ13" s="33"/>
      <c r="KR13" s="33"/>
      <c r="KS13" s="33"/>
      <c r="KT13" s="33"/>
      <c r="KU13" s="33"/>
      <c r="KV13" s="33"/>
      <c r="KW13" s="33"/>
      <c r="KX13" s="33"/>
      <c r="KY13" s="33"/>
      <c r="KZ13" s="33"/>
      <c r="LA13" s="33"/>
      <c r="LB13" s="33"/>
      <c r="LC13" s="33"/>
      <c r="LD13" s="33"/>
      <c r="LE13" s="33"/>
      <c r="LF13" s="33"/>
      <c r="LG13" s="33"/>
      <c r="LH13" s="33"/>
      <c r="LI13" s="33"/>
      <c r="LJ13" s="33"/>
      <c r="LK13" s="33"/>
      <c r="LL13" s="33"/>
      <c r="LM13"/>
      <c r="LS13" s="99"/>
      <c r="LV13" s="99"/>
      <c r="LX13" s="303"/>
      <c r="LY13" s="100"/>
      <c r="LZ13" s="100"/>
      <c r="MA13" s="100"/>
      <c r="MB13" s="100"/>
      <c r="MC13" s="100"/>
      <c r="MD13" s="301"/>
      <c r="ME13" s="90"/>
      <c r="MF13" s="90"/>
      <c r="MG13" s="90"/>
      <c r="MH13" s="305"/>
    </row>
    <row r="14" spans="2:348" s="2" customFormat="1" ht="50.25" customHeight="1">
      <c r="B14" s="56"/>
      <c r="C14" s="56"/>
      <c r="D14" s="56"/>
      <c r="E14" s="65"/>
      <c r="F14" s="56"/>
      <c r="G14" s="65"/>
      <c r="H14" s="65"/>
      <c r="I14" s="56"/>
      <c r="J14" s="65"/>
      <c r="K14" s="56"/>
      <c r="L14" s="65"/>
      <c r="M14" s="56"/>
      <c r="N14" s="55"/>
      <c r="O14" s="55"/>
      <c r="P14" s="55"/>
      <c r="Q14" s="56"/>
      <c r="R14" s="55"/>
      <c r="S14" s="55"/>
      <c r="T14" s="56"/>
      <c r="U14" s="57"/>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c r="GH14" s="33"/>
      <c r="GI14" s="33"/>
      <c r="GJ14" s="33"/>
      <c r="GK14" s="33"/>
      <c r="GL14" s="33"/>
      <c r="GM14" s="33"/>
      <c r="GN14" s="33"/>
      <c r="GO14" s="33"/>
      <c r="GP14" s="33"/>
      <c r="GQ14" s="33"/>
      <c r="GR14" s="33"/>
      <c r="GS14" s="33"/>
      <c r="GT14" s="33"/>
      <c r="GU14" s="33"/>
      <c r="GV14" s="33"/>
      <c r="GW14" s="33"/>
      <c r="GX14" s="33"/>
      <c r="GY14" s="33"/>
      <c r="GZ14" s="33"/>
      <c r="HA14" s="33"/>
      <c r="HB14" s="33"/>
      <c r="HC14" s="33"/>
      <c r="HD14" s="33"/>
      <c r="HE14" s="33"/>
      <c r="HF14" s="33"/>
      <c r="HG14" s="33"/>
      <c r="HH14" s="33"/>
      <c r="HI14" s="33"/>
      <c r="HJ14" s="33"/>
      <c r="HK14" s="33"/>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33"/>
      <c r="IW14" s="33"/>
      <c r="IX14" s="33"/>
      <c r="IY14" s="33"/>
      <c r="IZ14" s="33"/>
      <c r="JA14" s="33"/>
      <c r="JB14" s="33"/>
      <c r="JC14" s="33"/>
      <c r="JD14" s="33"/>
      <c r="JE14" s="33"/>
      <c r="JF14" s="33"/>
      <c r="JG14" s="33"/>
      <c r="JH14" s="33"/>
      <c r="JI14" s="33"/>
      <c r="JJ14" s="33"/>
      <c r="JK14" s="33"/>
      <c r="JL14" s="33"/>
      <c r="JM14" s="33"/>
      <c r="JN14" s="33"/>
      <c r="JO14" s="33"/>
      <c r="JP14" s="33"/>
      <c r="JQ14" s="33"/>
      <c r="JR14" s="33"/>
      <c r="JS14" s="33"/>
      <c r="JT14" s="33"/>
      <c r="JU14" s="33"/>
      <c r="JV14" s="33"/>
      <c r="JW14" s="33"/>
      <c r="JX14" s="33"/>
      <c r="JY14" s="33"/>
      <c r="JZ14" s="33"/>
      <c r="KA14" s="33"/>
      <c r="KB14" s="33"/>
      <c r="KC14" s="33"/>
      <c r="KD14" s="33"/>
      <c r="KE14" s="33"/>
      <c r="KF14" s="33"/>
      <c r="KG14" s="33"/>
      <c r="KH14" s="33"/>
      <c r="KI14" s="33"/>
      <c r="KJ14" s="33"/>
      <c r="KK14" s="33"/>
      <c r="KL14" s="33"/>
      <c r="KM14" s="33"/>
      <c r="KN14" s="33"/>
      <c r="KO14" s="33"/>
      <c r="KP14" s="33"/>
      <c r="KQ14" s="33"/>
      <c r="KR14" s="33"/>
      <c r="KS14" s="33"/>
      <c r="KT14" s="33"/>
      <c r="KU14" s="33"/>
      <c r="KV14" s="33"/>
      <c r="KW14" s="33"/>
      <c r="KX14" s="33"/>
      <c r="KY14" s="33"/>
      <c r="KZ14" s="33"/>
      <c r="LA14" s="33"/>
      <c r="LB14" s="33"/>
      <c r="LC14" s="33"/>
      <c r="LD14" s="33"/>
      <c r="LE14" s="33"/>
      <c r="LF14" s="33"/>
      <c r="LG14" s="33"/>
      <c r="LH14" s="33"/>
      <c r="LI14" s="33"/>
      <c r="LJ14" s="33"/>
      <c r="LK14" s="33"/>
      <c r="LL14" s="33"/>
      <c r="LM14"/>
      <c r="LP14" s="2">
        <v>2022</v>
      </c>
      <c r="LQ14" s="332">
        <f>LQ12+(LQ22-LQ12)/15*7</f>
        <v>507.37157999999999</v>
      </c>
      <c r="LR14" s="332">
        <f>LR12+(LR22-LR12)/15*7</f>
        <v>521.36527999999998</v>
      </c>
      <c r="LS14" s="331">
        <f>SUM(suiviparsecteur[[#This Row],[Résidentiel réel]:[Agriculture réel]])</f>
        <v>599.73</v>
      </c>
      <c r="LT14" s="330">
        <f>LT12+(LT22-LT12)/15*7</f>
        <v>44.173333333333332</v>
      </c>
      <c r="LU14" s="330">
        <f>LU12+(LU22-LU12)/15*7</f>
        <v>46.039999999999992</v>
      </c>
      <c r="LV14" s="331">
        <f>$LV$12+'Axe 3 Milieu naturel et prod'!R46</f>
        <v>27.7</v>
      </c>
      <c r="LX14" s="303">
        <v>2022</v>
      </c>
      <c r="LY14" s="100">
        <f>$LY$12-'Axe 1 Logement et bâti'!R51</f>
        <v>157.4</v>
      </c>
      <c r="LZ14" s="100">
        <f>LZ12-'Axe 4 Économie BC'!R48</f>
        <v>57.5</v>
      </c>
      <c r="MA14" s="100">
        <f>$MA$12-'Axe 2 Déplacement'!R55</f>
        <v>215.5</v>
      </c>
      <c r="MB14" s="100">
        <f>$MB$12-'Axe 4 Économie BC'!R47</f>
        <v>166.1</v>
      </c>
      <c r="MC14" s="100">
        <f>MC12-'Axe 3 Milieu naturel et prod'!R44</f>
        <v>3.23</v>
      </c>
      <c r="MD14" s="301">
        <f>MD12+(MD22-MD12)/15*7</f>
        <v>143.21333333333334</v>
      </c>
      <c r="ME14" s="90">
        <f>ME12+(ME22-ME12)/15*7</f>
        <v>54</v>
      </c>
      <c r="MF14" s="90">
        <f>MF12+(MF22-MF12)/15*7</f>
        <v>178.4</v>
      </c>
      <c r="MG14" s="90">
        <f>MG12+(MG22-MG12)/15*7</f>
        <v>142.72</v>
      </c>
      <c r="MH14" s="305">
        <f>MH12+(MH22-MH12)/15*7</f>
        <v>2.6559999999999997</v>
      </c>
      <c r="MJ14" s="2">
        <v>2022</v>
      </c>
    </row>
    <row r="15" spans="2:348" s="2" customFormat="1" ht="50.25" customHeight="1">
      <c r="B15" s="56"/>
      <c r="C15" s="56"/>
      <c r="D15" s="56"/>
      <c r="E15" s="65"/>
      <c r="F15" s="56"/>
      <c r="G15" s="65"/>
      <c r="H15" s="65"/>
      <c r="I15" s="56"/>
      <c r="J15" s="65"/>
      <c r="K15" s="56"/>
      <c r="L15" s="65"/>
      <c r="M15" s="56"/>
      <c r="N15" s="55"/>
      <c r="O15" s="55"/>
      <c r="P15" s="55"/>
      <c r="Q15" s="56"/>
      <c r="R15" s="55"/>
      <c r="S15" s="55"/>
      <c r="T15" s="56"/>
      <c r="U15" s="57"/>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c r="GH15" s="33"/>
      <c r="GI15" s="33"/>
      <c r="GJ15" s="33"/>
      <c r="GK15" s="33"/>
      <c r="GL15" s="33"/>
      <c r="GM15" s="33"/>
      <c r="GN15" s="33"/>
      <c r="GO15" s="33"/>
      <c r="GP15" s="33"/>
      <c r="GQ15" s="33"/>
      <c r="GR15" s="33"/>
      <c r="GS15" s="33"/>
      <c r="GT15" s="33"/>
      <c r="GU15" s="33"/>
      <c r="GV15" s="33"/>
      <c r="GW15" s="33"/>
      <c r="GX15" s="33"/>
      <c r="GY15" s="33"/>
      <c r="GZ15" s="33"/>
      <c r="HA15" s="33"/>
      <c r="HB15" s="33"/>
      <c r="HC15" s="33"/>
      <c r="HD15" s="33"/>
      <c r="HE15" s="33"/>
      <c r="HF15" s="33"/>
      <c r="HG15" s="33"/>
      <c r="HH15" s="33"/>
      <c r="HI15" s="33"/>
      <c r="HJ15" s="33"/>
      <c r="HK15" s="33"/>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c r="IV15" s="33"/>
      <c r="IW15" s="33"/>
      <c r="IX15" s="33"/>
      <c r="IY15" s="33"/>
      <c r="IZ15" s="33"/>
      <c r="JA15" s="33"/>
      <c r="JB15" s="33"/>
      <c r="JC15" s="33"/>
      <c r="JD15" s="33"/>
      <c r="JE15" s="33"/>
      <c r="JF15" s="33"/>
      <c r="JG15" s="33"/>
      <c r="JH15" s="33"/>
      <c r="JI15" s="33"/>
      <c r="JJ15" s="33"/>
      <c r="JK15" s="33"/>
      <c r="JL15" s="33"/>
      <c r="JM15" s="33"/>
      <c r="JN15" s="33"/>
      <c r="JO15" s="33"/>
      <c r="JP15" s="33"/>
      <c r="JQ15" s="33"/>
      <c r="JR15" s="33"/>
      <c r="JS15" s="33"/>
      <c r="JT15" s="33"/>
      <c r="JU15" s="33"/>
      <c r="JV15" s="33"/>
      <c r="JW15" s="33"/>
      <c r="JX15" s="33"/>
      <c r="JY15" s="33"/>
      <c r="JZ15" s="33"/>
      <c r="KA15" s="33"/>
      <c r="KB15" s="33"/>
      <c r="KC15" s="33"/>
      <c r="KD15" s="33"/>
      <c r="KE15" s="33"/>
      <c r="KF15" s="33"/>
      <c r="KG15" s="33"/>
      <c r="KH15" s="33"/>
      <c r="KI15" s="33"/>
      <c r="KJ15" s="33"/>
      <c r="KK15" s="33"/>
      <c r="KL15" s="33"/>
      <c r="KM15" s="33"/>
      <c r="KN15" s="33"/>
      <c r="KO15" s="33"/>
      <c r="KP15" s="33"/>
      <c r="KQ15" s="33"/>
      <c r="KR15" s="33"/>
      <c r="KS15" s="33"/>
      <c r="KT15" s="33"/>
      <c r="KU15" s="33"/>
      <c r="KV15" s="33"/>
      <c r="KW15" s="33"/>
      <c r="KX15" s="33"/>
      <c r="KY15" s="33"/>
      <c r="KZ15" s="33"/>
      <c r="LA15" s="33"/>
      <c r="LB15" s="33"/>
      <c r="LC15" s="33"/>
      <c r="LD15" s="33"/>
      <c r="LE15" s="33"/>
      <c r="LF15" s="33"/>
      <c r="LG15" s="33"/>
      <c r="LH15" s="33"/>
      <c r="LI15" s="33"/>
      <c r="LJ15" s="33"/>
      <c r="LK15" s="33"/>
      <c r="LL15" s="33"/>
      <c r="LM15"/>
      <c r="LP15" s="2">
        <v>2023</v>
      </c>
      <c r="LQ15" s="332">
        <f>LQ12+(LQ22-LQ12)/15*8</f>
        <v>494.17752000000002</v>
      </c>
      <c r="LR15" s="332">
        <f>LR12+(LR22-LR12)/15*8</f>
        <v>510.17032</v>
      </c>
      <c r="LS15" s="331">
        <f>SUM(suiviparsecteur[[#This Row],[Résidentiel réel]:[Agriculture réel]])</f>
        <v>599.73</v>
      </c>
      <c r="LT15" s="330">
        <f>LT12+(LT22-LT12)/15*8</f>
        <v>46.526666666666664</v>
      </c>
      <c r="LU15" s="330">
        <f>LU12+(LU22-LU12)/15*8</f>
        <v>48.66</v>
      </c>
      <c r="LV15" s="331">
        <f>$LV$12+'Axe 3 Milieu naturel et prod'!S46</f>
        <v>27.7</v>
      </c>
      <c r="LX15" s="303">
        <v>2023</v>
      </c>
      <c r="LY15" s="100">
        <f>$LY$12-'Axe 1 Logement et bâti'!S51</f>
        <v>157.4</v>
      </c>
      <c r="LZ15" s="100">
        <f>LZ12-'Axe 4 Économie BC'!S48</f>
        <v>57.5</v>
      </c>
      <c r="MA15" s="100">
        <f>$MA$12-'Axe 2 Déplacement'!S55</f>
        <v>215.5</v>
      </c>
      <c r="MB15" s="100">
        <f>$MB$12-'Axe 4 Économie BC'!S47</f>
        <v>166.1</v>
      </c>
      <c r="MC15" s="100">
        <f>MC12-'Axe 3 Milieu naturel et prod'!S44</f>
        <v>3.23</v>
      </c>
      <c r="MD15" s="301">
        <f>MD12+(MD22-MD12)/15*8</f>
        <v>141.18666666666667</v>
      </c>
      <c r="ME15" s="90">
        <f>ME12+(ME22-ME12)/15*8</f>
        <v>53.5</v>
      </c>
      <c r="MF15" s="90">
        <f>$MF$12+($MF$22-$MF$12)/15*8</f>
        <v>173.1</v>
      </c>
      <c r="MG15" s="90">
        <f>MG12+(MG22-MG12)/15*8</f>
        <v>139.38</v>
      </c>
      <c r="MH15" s="305">
        <f>MH12+(MH22-MH12)/15*8</f>
        <v>2.5739999999999998</v>
      </c>
      <c r="MJ15" s="2">
        <v>2023</v>
      </c>
    </row>
    <row r="16" spans="2:348" s="2" customFormat="1" ht="50.25" customHeight="1">
      <c r="B16" s="56"/>
      <c r="C16" s="56"/>
      <c r="D16" s="56"/>
      <c r="E16" s="65"/>
      <c r="F16" s="56"/>
      <c r="G16" s="65"/>
      <c r="H16" s="65"/>
      <c r="I16" s="56"/>
      <c r="J16" s="65"/>
      <c r="K16" s="56"/>
      <c r="L16" s="65"/>
      <c r="M16" s="56"/>
      <c r="N16" s="55"/>
      <c r="O16" s="55"/>
      <c r="P16" s="55"/>
      <c r="Q16" s="56"/>
      <c r="R16" s="55"/>
      <c r="S16" s="55"/>
      <c r="T16" s="56"/>
      <c r="U16" s="57"/>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c r="GI16" s="33"/>
      <c r="GJ16" s="33"/>
      <c r="GK16" s="33"/>
      <c r="GL16" s="33"/>
      <c r="GM16" s="33"/>
      <c r="GN16" s="33"/>
      <c r="GO16" s="33"/>
      <c r="GP16" s="33"/>
      <c r="GQ16" s="33"/>
      <c r="GR16" s="33"/>
      <c r="GS16" s="33"/>
      <c r="GT16" s="33"/>
      <c r="GU16" s="33"/>
      <c r="GV16" s="33"/>
      <c r="GW16" s="33"/>
      <c r="GX16" s="33"/>
      <c r="GY16" s="33"/>
      <c r="GZ16" s="33"/>
      <c r="HA16" s="33"/>
      <c r="HB16" s="33"/>
      <c r="HC16" s="33"/>
      <c r="HD16" s="33"/>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3"/>
      <c r="IW16" s="33"/>
      <c r="IX16" s="33"/>
      <c r="IY16" s="33"/>
      <c r="IZ16" s="33"/>
      <c r="JA16" s="33"/>
      <c r="JB16" s="33"/>
      <c r="JC16" s="33"/>
      <c r="JD16" s="33"/>
      <c r="JE16" s="33"/>
      <c r="JF16" s="33"/>
      <c r="JG16" s="33"/>
      <c r="JH16" s="33"/>
      <c r="JI16" s="33"/>
      <c r="JJ16" s="33"/>
      <c r="JK16" s="33"/>
      <c r="JL16" s="33"/>
      <c r="JM16" s="33"/>
      <c r="JN16" s="33"/>
      <c r="JO16" s="33"/>
      <c r="JP16" s="33"/>
      <c r="JQ16" s="33"/>
      <c r="JR16" s="33"/>
      <c r="JS16" s="33"/>
      <c r="JT16" s="33"/>
      <c r="JU16" s="33"/>
      <c r="JV16" s="33"/>
      <c r="JW16" s="33"/>
      <c r="JX16" s="33"/>
      <c r="JY16" s="33"/>
      <c r="JZ16" s="33"/>
      <c r="KA16" s="33"/>
      <c r="KB16" s="33"/>
      <c r="KC16" s="33"/>
      <c r="KD16" s="33"/>
      <c r="KE16" s="33"/>
      <c r="KF16" s="33"/>
      <c r="KG16" s="33"/>
      <c r="KH16" s="33"/>
      <c r="KI16" s="33"/>
      <c r="KJ16" s="33"/>
      <c r="KK16" s="33"/>
      <c r="KL16" s="33"/>
      <c r="KM16" s="33"/>
      <c r="KN16" s="33"/>
      <c r="KO16" s="33"/>
      <c r="KP16" s="33"/>
      <c r="KQ16" s="33"/>
      <c r="KR16" s="33"/>
      <c r="KS16" s="33"/>
      <c r="KT16" s="33"/>
      <c r="KU16" s="33"/>
      <c r="KV16" s="33"/>
      <c r="KW16" s="33"/>
      <c r="KX16" s="33"/>
      <c r="KY16" s="33"/>
      <c r="KZ16" s="33"/>
      <c r="LA16" s="33"/>
      <c r="LB16" s="33"/>
      <c r="LC16" s="33"/>
      <c r="LD16" s="33"/>
      <c r="LE16" s="33"/>
      <c r="LF16" s="33"/>
      <c r="LG16" s="33"/>
      <c r="LH16" s="33"/>
      <c r="LI16" s="33"/>
      <c r="LJ16" s="33"/>
      <c r="LK16" s="33"/>
      <c r="LL16" s="33"/>
      <c r="LM16"/>
      <c r="LP16" s="2">
        <v>2024</v>
      </c>
      <c r="LQ16" s="332">
        <f>LQ12+(LQ22-LQ12)/15*9</f>
        <v>480.98345999999998</v>
      </c>
      <c r="LR16" s="332">
        <f>LR12+(LR22-LR12)/15*9</f>
        <v>498.97536000000002</v>
      </c>
      <c r="LS16" s="331">
        <f>SUM(suiviparsecteur[[#This Row],[Résidentiel réel]:[Agriculture réel]])</f>
        <v>599.73</v>
      </c>
      <c r="LT16" s="330">
        <f>LT12+(LT22-LT12)/15*9</f>
        <v>48.879999999999995</v>
      </c>
      <c r="LU16" s="330">
        <f>LU12+(LU22-LU12)/15*9</f>
        <v>51.28</v>
      </c>
      <c r="LV16" s="331">
        <f>$LV$12+'Axe 3 Milieu naturel et prod'!T46</f>
        <v>27.7</v>
      </c>
      <c r="LX16" s="303">
        <v>2024</v>
      </c>
      <c r="LY16" s="100">
        <f>$LY$12-'Axe 1 Logement et bâti'!T51</f>
        <v>157.4</v>
      </c>
      <c r="LZ16" s="100">
        <f>LZ12-'Axe 4 Économie BC'!T48</f>
        <v>57.5</v>
      </c>
      <c r="MA16" s="100">
        <f>$MA$12-'Axe 2 Déplacement'!T55</f>
        <v>215.5</v>
      </c>
      <c r="MB16" s="100">
        <f>$MB$12-'Axe 4 Économie BC'!T47</f>
        <v>166.1</v>
      </c>
      <c r="MC16" s="100">
        <f>MC12-'Axe 3 Milieu naturel et prod'!T44</f>
        <v>3.23</v>
      </c>
      <c r="MD16" s="301">
        <f>MD12+(MD22-MD12)/15*9</f>
        <v>139.16</v>
      </c>
      <c r="ME16" s="90">
        <f>ME12+(ME22-ME12)/15*9</f>
        <v>53</v>
      </c>
      <c r="MF16" s="90">
        <f>$MF$12+($MF$22-$MF$12)/15*9</f>
        <v>167.8</v>
      </c>
      <c r="MG16" s="90">
        <v>555</v>
      </c>
      <c r="MH16" s="305">
        <v>69</v>
      </c>
      <c r="MJ16" s="2">
        <v>2024</v>
      </c>
    </row>
    <row r="17" spans="2:348" s="2" customFormat="1" ht="50.25" customHeight="1">
      <c r="B17" s="56"/>
      <c r="C17" s="56"/>
      <c r="D17" s="56"/>
      <c r="E17" s="65"/>
      <c r="F17" s="56"/>
      <c r="G17" s="65"/>
      <c r="H17" s="65"/>
      <c r="I17" s="56"/>
      <c r="J17" s="65"/>
      <c r="K17" s="56"/>
      <c r="L17" s="65"/>
      <c r="M17" s="56"/>
      <c r="N17" s="55"/>
      <c r="O17" s="55"/>
      <c r="P17" s="55"/>
      <c r="Q17" s="56"/>
      <c r="R17" s="55"/>
      <c r="S17" s="55"/>
      <c r="T17" s="56"/>
      <c r="U17" s="57"/>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c r="GS17" s="33"/>
      <c r="GT17" s="33"/>
      <c r="GU17" s="33"/>
      <c r="GV17" s="33"/>
      <c r="GW17" s="33"/>
      <c r="GX17" s="33"/>
      <c r="GY17" s="33"/>
      <c r="GZ17" s="33"/>
      <c r="HA17" s="33"/>
      <c r="HB17" s="33"/>
      <c r="HC17" s="33"/>
      <c r="HD17" s="33"/>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3"/>
      <c r="IW17" s="33"/>
      <c r="IX17" s="33"/>
      <c r="IY17" s="33"/>
      <c r="IZ17" s="33"/>
      <c r="JA17" s="33"/>
      <c r="JB17" s="33"/>
      <c r="JC17" s="33"/>
      <c r="JD17" s="33"/>
      <c r="JE17" s="33"/>
      <c r="JF17" s="33"/>
      <c r="JG17" s="33"/>
      <c r="JH17" s="33"/>
      <c r="JI17" s="33"/>
      <c r="JJ17" s="33"/>
      <c r="JK17" s="33"/>
      <c r="JL17" s="33"/>
      <c r="JM17" s="33"/>
      <c r="JN17" s="33"/>
      <c r="JO17" s="33"/>
      <c r="JP17" s="33"/>
      <c r="JQ17" s="33"/>
      <c r="JR17" s="33"/>
      <c r="JS17" s="33"/>
      <c r="JT17" s="33"/>
      <c r="JU17" s="33"/>
      <c r="JV17" s="33"/>
      <c r="JW17" s="33"/>
      <c r="JX17" s="33"/>
      <c r="JY17" s="33"/>
      <c r="JZ17" s="33"/>
      <c r="KA17" s="33"/>
      <c r="KB17" s="33"/>
      <c r="KC17" s="33"/>
      <c r="KD17" s="33"/>
      <c r="KE17" s="33"/>
      <c r="KF17" s="33"/>
      <c r="KG17" s="33"/>
      <c r="KH17" s="33"/>
      <c r="KI17" s="33"/>
      <c r="KJ17" s="33"/>
      <c r="KK17" s="33"/>
      <c r="KL17" s="33"/>
      <c r="KM17" s="33"/>
      <c r="KN17" s="33"/>
      <c r="KO17" s="33"/>
      <c r="KP17" s="33"/>
      <c r="KQ17" s="33"/>
      <c r="KR17" s="33"/>
      <c r="KS17" s="33"/>
      <c r="KT17" s="33"/>
      <c r="KU17" s="33"/>
      <c r="KV17" s="33"/>
      <c r="KW17" s="33"/>
      <c r="KX17" s="33"/>
      <c r="KY17" s="33"/>
      <c r="KZ17" s="33"/>
      <c r="LA17" s="33"/>
      <c r="LB17" s="33"/>
      <c r="LC17" s="33"/>
      <c r="LD17" s="33"/>
      <c r="LE17" s="33"/>
      <c r="LF17" s="33"/>
      <c r="LG17" s="33"/>
      <c r="LH17" s="33"/>
      <c r="LI17" s="33"/>
      <c r="LJ17" s="33"/>
      <c r="LK17" s="33"/>
      <c r="LL17" s="33"/>
      <c r="LM17"/>
      <c r="LP17" s="2">
        <v>2025</v>
      </c>
      <c r="LQ17" s="332">
        <f>LQ12+(LQ22-LQ12)/15*10</f>
        <v>467.7894</v>
      </c>
      <c r="LR17" s="332">
        <f>LR12+(LR22-LR12)/15*10</f>
        <v>487.78039999999999</v>
      </c>
      <c r="LS17" s="331">
        <f>SUM(suiviparsecteur[[#This Row],[Résidentiel réel]:[Agriculture réel]])</f>
        <v>599.73</v>
      </c>
      <c r="LT17" s="330">
        <f>LT12+(LT22-LT12)/15*10</f>
        <v>51.233333333333334</v>
      </c>
      <c r="LU17" s="330">
        <f>LU12+(LU22-LU12)/15*10</f>
        <v>53.899999999999991</v>
      </c>
      <c r="LV17" s="331">
        <f>$LV$12+'Axe 3 Milieu naturel et prod'!U46</f>
        <v>27.7</v>
      </c>
      <c r="LX17" s="303">
        <v>2025</v>
      </c>
      <c r="LY17" s="100">
        <f>$LY$12-'Axe 1 Logement et bâti'!U51</f>
        <v>157.4</v>
      </c>
      <c r="LZ17" s="100">
        <f>LZ12-'Axe 4 Économie BC'!U48</f>
        <v>57.5</v>
      </c>
      <c r="MA17" s="100">
        <f>$MA$12-'Axe 2 Déplacement'!U55</f>
        <v>215.5</v>
      </c>
      <c r="MB17" s="100">
        <f>$MB$12-'Axe 4 Économie BC'!U47</f>
        <v>166.1</v>
      </c>
      <c r="MC17" s="100">
        <f>MC12-'Axe 3 Milieu naturel et prod'!U44</f>
        <v>3.23</v>
      </c>
      <c r="MD17" s="301">
        <f>MD12+(MD22-MD12)/15*10</f>
        <v>137.13333333333333</v>
      </c>
      <c r="ME17" s="90">
        <f>ME12+(ME22-ME12)/15*10</f>
        <v>52.5</v>
      </c>
      <c r="MF17" s="90">
        <f>MF12+(MF22-MF12)/15*10</f>
        <v>162.5</v>
      </c>
      <c r="MG17" s="90">
        <f>MG12+(MG22-MG12)/15*10</f>
        <v>132.69999999999999</v>
      </c>
      <c r="MH17" s="305">
        <f>MH12+(MH22-MH12)/15*10</f>
        <v>2.41</v>
      </c>
      <c r="MJ17" s="2">
        <v>2025</v>
      </c>
    </row>
    <row r="18" spans="2:348" s="2" customFormat="1" ht="50.25" customHeight="1">
      <c r="B18" s="56"/>
      <c r="C18" s="56"/>
      <c r="D18" s="56"/>
      <c r="E18" s="65"/>
      <c r="F18" s="56"/>
      <c r="G18" s="65"/>
      <c r="H18" s="65"/>
      <c r="I18" s="56"/>
      <c r="J18" s="65"/>
      <c r="K18" s="56"/>
      <c r="L18" s="65"/>
      <c r="M18" s="56"/>
      <c r="N18" s="55"/>
      <c r="O18" s="55"/>
      <c r="P18" s="55"/>
      <c r="Q18" s="56"/>
      <c r="R18" s="55"/>
      <c r="S18" s="55"/>
      <c r="T18" s="56"/>
      <c r="U18" s="57"/>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33"/>
      <c r="FT18" s="33"/>
      <c r="FU18" s="33"/>
      <c r="FV18" s="33"/>
      <c r="FW18" s="33"/>
      <c r="FX18" s="33"/>
      <c r="FY18" s="33"/>
      <c r="FZ18" s="33"/>
      <c r="GA18" s="33"/>
      <c r="GB18" s="33"/>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c r="IV18" s="33"/>
      <c r="IW18" s="33"/>
      <c r="IX18" s="33"/>
      <c r="IY18" s="33"/>
      <c r="IZ18" s="33"/>
      <c r="JA18" s="33"/>
      <c r="JB18" s="33"/>
      <c r="JC18" s="33"/>
      <c r="JD18" s="33"/>
      <c r="JE18" s="33"/>
      <c r="JF18" s="33"/>
      <c r="JG18" s="33"/>
      <c r="JH18" s="33"/>
      <c r="JI18" s="33"/>
      <c r="JJ18" s="33"/>
      <c r="JK18" s="33"/>
      <c r="JL18" s="33"/>
      <c r="JM18" s="33"/>
      <c r="JN18" s="33"/>
      <c r="JO18" s="33"/>
      <c r="JP18" s="33"/>
      <c r="JQ18" s="33"/>
      <c r="JR18" s="33"/>
      <c r="JS18" s="33"/>
      <c r="JT18" s="33"/>
      <c r="JU18" s="33"/>
      <c r="JV18" s="33"/>
      <c r="JW18" s="33"/>
      <c r="JX18" s="33"/>
      <c r="JY18" s="33"/>
      <c r="JZ18" s="33"/>
      <c r="KA18" s="33"/>
      <c r="KB18" s="33"/>
      <c r="KC18" s="33"/>
      <c r="KD18" s="33"/>
      <c r="KE18" s="33"/>
      <c r="KF18" s="33"/>
      <c r="KG18" s="33"/>
      <c r="KH18" s="33"/>
      <c r="KI18" s="33"/>
      <c r="KJ18" s="33"/>
      <c r="KK18" s="33"/>
      <c r="KL18" s="33"/>
      <c r="KM18" s="33"/>
      <c r="KN18" s="33"/>
      <c r="KO18" s="33"/>
      <c r="KP18" s="33"/>
      <c r="KQ18" s="33"/>
      <c r="KR18" s="33"/>
      <c r="KS18" s="33"/>
      <c r="KT18" s="33"/>
      <c r="KU18" s="33"/>
      <c r="KV18" s="33"/>
      <c r="KW18" s="33"/>
      <c r="KX18" s="33"/>
      <c r="KY18" s="33"/>
      <c r="KZ18" s="33"/>
      <c r="LA18" s="33"/>
      <c r="LB18" s="33"/>
      <c r="LC18" s="33"/>
      <c r="LD18" s="33"/>
      <c r="LE18" s="33"/>
      <c r="LF18" s="33"/>
      <c r="LG18" s="33"/>
      <c r="LH18" s="33"/>
      <c r="LI18" s="33"/>
      <c r="LJ18" s="33"/>
      <c r="LK18" s="33"/>
      <c r="LL18" s="33"/>
      <c r="LM18"/>
      <c r="LP18" s="2">
        <v>2026</v>
      </c>
      <c r="LQ18" s="332">
        <f>LQ12+(LQ22-LQ12)/15*11</f>
        <v>454.59533999999996</v>
      </c>
      <c r="LR18" s="332">
        <f>LR12+(LR22-LR12)/15*11</f>
        <v>476.58544000000001</v>
      </c>
      <c r="LS18" s="331">
        <f>SUM(suiviparsecteur[[#This Row],[Résidentiel réel]:[Agriculture réel]])</f>
        <v>599.73</v>
      </c>
      <c r="LT18" s="330">
        <f>LT12+(LT22-LT12)/15*11</f>
        <v>53.586666666666659</v>
      </c>
      <c r="LU18" s="330">
        <f>LU12+(LU22-LU12)/15*11</f>
        <v>56.519999999999996</v>
      </c>
      <c r="LV18" s="331">
        <f>$LV$12+'Axe 3 Milieu naturel et prod'!V46</f>
        <v>27.7</v>
      </c>
      <c r="LX18" s="303">
        <v>2026</v>
      </c>
      <c r="LY18" s="100">
        <f>$LY$12-'Axe 1 Logement et bâti'!V51</f>
        <v>157.4</v>
      </c>
      <c r="LZ18" s="100">
        <f>LZ12-'Axe 4 Économie BC'!V48</f>
        <v>57.5</v>
      </c>
      <c r="MA18" s="100">
        <f>$MA$12-'Axe 2 Déplacement'!V55</f>
        <v>215.5</v>
      </c>
      <c r="MB18" s="100">
        <f>$MB$12-'Axe 4 Économie BC'!V47</f>
        <v>166.1</v>
      </c>
      <c r="MC18" s="100">
        <f>MC12-'Axe 3 Milieu naturel et prod'!V44</f>
        <v>3.23</v>
      </c>
      <c r="MD18" s="301">
        <f>MD12+(MD22-MD12)/15*11</f>
        <v>135.10666666666668</v>
      </c>
      <c r="ME18" s="90">
        <f>ME12+(ME22-ME12)/15*10</f>
        <v>52.5</v>
      </c>
      <c r="MF18" s="90">
        <f>$MF$12+($MF$22-$MF$12)/15*11</f>
        <v>157.19999999999999</v>
      </c>
      <c r="MG18" s="90">
        <v>532</v>
      </c>
      <c r="MH18" s="305">
        <v>68</v>
      </c>
      <c r="MJ18" s="2">
        <v>2026</v>
      </c>
    </row>
    <row r="19" spans="2:348" s="2" customFormat="1" ht="50.25" customHeight="1">
      <c r="B19" s="79"/>
      <c r="C19" s="79" t="s">
        <v>35</v>
      </c>
      <c r="D19" s="79" t="s">
        <v>36</v>
      </c>
      <c r="E19" s="65"/>
      <c r="F19" s="79" t="s">
        <v>37</v>
      </c>
      <c r="G19" s="79" t="s">
        <v>0</v>
      </c>
      <c r="H19" s="91" t="s">
        <v>1</v>
      </c>
      <c r="I19" s="91" t="s">
        <v>38</v>
      </c>
      <c r="J19" s="91" t="s">
        <v>39</v>
      </c>
      <c r="K19" s="79" t="s">
        <v>2</v>
      </c>
      <c r="L19" s="65"/>
      <c r="M19" s="56"/>
      <c r="N19" s="55"/>
      <c r="O19" s="55"/>
      <c r="P19" s="55"/>
      <c r="Q19" s="56"/>
      <c r="R19" s="55"/>
      <c r="S19" s="55"/>
      <c r="T19" s="56"/>
      <c r="U19" s="57"/>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c r="GI19" s="33"/>
      <c r="GJ19" s="33"/>
      <c r="GK19" s="33"/>
      <c r="GL19" s="33"/>
      <c r="GM19" s="33"/>
      <c r="GN19" s="33"/>
      <c r="GO19" s="33"/>
      <c r="GP19" s="33"/>
      <c r="GQ19" s="33"/>
      <c r="GR19" s="33"/>
      <c r="GS19" s="33"/>
      <c r="GT19" s="33"/>
      <c r="GU19" s="33"/>
      <c r="GV19" s="33"/>
      <c r="GW19" s="33"/>
      <c r="GX19" s="33"/>
      <c r="GY19" s="33"/>
      <c r="GZ19" s="33"/>
      <c r="HA19" s="33"/>
      <c r="HB19" s="33"/>
      <c r="HC19" s="33"/>
      <c r="HD19" s="33"/>
      <c r="HE19" s="33"/>
      <c r="HF19" s="33"/>
      <c r="HG19" s="33"/>
      <c r="HH19" s="33"/>
      <c r="HI19" s="33"/>
      <c r="HJ19" s="33"/>
      <c r="HK19" s="33"/>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33"/>
      <c r="IW19" s="33"/>
      <c r="IX19" s="33"/>
      <c r="IY19" s="33"/>
      <c r="IZ19" s="33"/>
      <c r="JA19" s="33"/>
      <c r="JB19" s="33"/>
      <c r="JC19" s="33"/>
      <c r="JD19" s="33"/>
      <c r="JE19" s="33"/>
      <c r="JF19" s="33"/>
      <c r="JG19" s="33"/>
      <c r="JH19" s="33"/>
      <c r="JI19" s="33"/>
      <c r="JJ19" s="33"/>
      <c r="JK19" s="33"/>
      <c r="JL19" s="33"/>
      <c r="JM19" s="33"/>
      <c r="JN19" s="33"/>
      <c r="JO19" s="33"/>
      <c r="JP19" s="33"/>
      <c r="JQ19" s="33"/>
      <c r="JR19" s="33"/>
      <c r="JS19" s="33"/>
      <c r="JT19" s="33"/>
      <c r="JU19" s="33"/>
      <c r="JV19" s="33"/>
      <c r="JW19" s="33"/>
      <c r="JX19" s="33"/>
      <c r="JY19" s="33"/>
      <c r="JZ19" s="33"/>
      <c r="KA19" s="33"/>
      <c r="KB19" s="33"/>
      <c r="KC19" s="33"/>
      <c r="KD19" s="33"/>
      <c r="KE19" s="33"/>
      <c r="KF19" s="33"/>
      <c r="KG19" s="33"/>
      <c r="KH19" s="33"/>
      <c r="KI19" s="33"/>
      <c r="KJ19" s="33"/>
      <c r="KK19" s="33"/>
      <c r="KL19" s="33"/>
      <c r="KM19" s="33"/>
      <c r="KN19" s="33"/>
      <c r="KO19" s="33"/>
      <c r="KP19" s="33"/>
      <c r="KQ19" s="33"/>
      <c r="KR19" s="33"/>
      <c r="KS19" s="33"/>
      <c r="KT19" s="33"/>
      <c r="KU19" s="33"/>
      <c r="KV19" s="33"/>
      <c r="KW19" s="33"/>
      <c r="KX19" s="33"/>
      <c r="KY19" s="33"/>
      <c r="KZ19" s="33"/>
      <c r="LA19" s="33"/>
      <c r="LB19" s="33"/>
      <c r="LC19" s="33"/>
      <c r="LD19" s="33"/>
      <c r="LE19" s="33"/>
      <c r="LF19" s="33"/>
      <c r="LG19" s="33"/>
      <c r="LH19" s="33"/>
      <c r="LI19" s="33"/>
      <c r="LJ19" s="33"/>
      <c r="LK19" s="33"/>
      <c r="LL19" s="33"/>
      <c r="LM19"/>
      <c r="LP19" s="2">
        <v>2027</v>
      </c>
      <c r="LQ19" s="332">
        <f>LQ12+(LQ22-LQ12)/15*12</f>
        <v>441.40127999999999</v>
      </c>
      <c r="LR19" s="332">
        <f>LR12+(LR22-LR12)/15*12</f>
        <v>465.39048000000003</v>
      </c>
      <c r="LS19" s="331">
        <f>SUM(suiviparsecteur[[#This Row],[Résidentiel réel]:[Agriculture réel]])</f>
        <v>599.73</v>
      </c>
      <c r="LT19" s="330">
        <f>LT12+(LT22-LT12)/15*12</f>
        <v>55.94</v>
      </c>
      <c r="LU19" s="330">
        <f>LU12+(LU22-LU12)/15*12</f>
        <v>59.14</v>
      </c>
      <c r="LV19" s="331">
        <f>$LV$12+'Axe 3 Milieu naturel et prod'!W46</f>
        <v>27.7</v>
      </c>
      <c r="LX19" s="303">
        <v>2027</v>
      </c>
      <c r="LY19" s="100">
        <f>$LY$12-'Axe 1 Logement et bâti'!W51</f>
        <v>157.4</v>
      </c>
      <c r="LZ19" s="100">
        <f>LZ12-'Axe 4 Économie BC'!W48</f>
        <v>57.5</v>
      </c>
      <c r="MA19" s="100">
        <f>$MA$12-'Axe 2 Déplacement'!W55</f>
        <v>215.5</v>
      </c>
      <c r="MB19" s="100">
        <f>$MB$12-'Axe 4 Économie BC'!W47</f>
        <v>166.1</v>
      </c>
      <c r="MC19" s="100">
        <f>MC12-'Axe 3 Milieu naturel et prod'!W44</f>
        <v>3.23</v>
      </c>
      <c r="MD19" s="301">
        <f>MD12+(MD22-MD12)/15*12</f>
        <v>133.08000000000001</v>
      </c>
      <c r="ME19" s="90">
        <f>ME12+(ME22-ME12)/15*12</f>
        <v>51.5</v>
      </c>
      <c r="MF19" s="90">
        <f>MF12+(MF22-MF12)/15*12</f>
        <v>151.9</v>
      </c>
      <c r="MG19" s="90">
        <f>MG12+(MG22-MG12)/15*12</f>
        <v>126.02000000000001</v>
      </c>
      <c r="MH19" s="305">
        <f>MH12+(MH22-MH12)/15*12</f>
        <v>2.246</v>
      </c>
      <c r="MJ19" s="2">
        <v>2027</v>
      </c>
    </row>
    <row r="20" spans="2:348" s="2" customFormat="1" ht="50.25" customHeight="1">
      <c r="B20" s="79" t="s">
        <v>56</v>
      </c>
      <c r="C20" s="82" cm="1">
        <f t="array" ref="C20">SUM((consoenergie[Consommations : objectif stratégie])*(consoenergie[Année de suivi]=suiviannée[Colonne2]))</f>
        <v>454.19551999999999</v>
      </c>
      <c r="D20" s="82">
        <f t="array" ref="D20">SUM((consoenergie[EnR&amp;R : objectif stratégie])*(consoenergie[Année de suivi]=suiviannée[Colonne2]))</f>
        <v>61.759999999999991</v>
      </c>
      <c r="E20" s="65"/>
      <c r="F20" s="79" t="s">
        <v>56</v>
      </c>
      <c r="G20" s="82">
        <f t="array" ref="G20">SUM((suiviparsecteur[Résidentiel objectif])*(suiviparsecteur[Année de suivi]=suiviannée[Colonne2]))</f>
        <v>131.05333333333334</v>
      </c>
      <c r="H20" s="82">
        <f t="array" ref="H20">SUM((suiviparsecteur[Tertiaire obj])*(suiviparsecteur[Année de suivi]=suiviannée[Colonne2]))</f>
        <v>51</v>
      </c>
      <c r="I20" s="82">
        <f t="array" ref="I20">SUM((suiviparsecteur[Transport obj])*(suiviparsecteur[Année de suivi]=suiviannée[Colonne2]))</f>
        <v>146.60000000000002</v>
      </c>
      <c r="J20" s="82">
        <f t="array" ref="J20">SUM((suiviparsecteur[Industrie obj])*(suiviparsecteur[Année de suivi]=suiviannée[Colonne2]))</f>
        <v>122.68</v>
      </c>
      <c r="K20" s="82">
        <f t="array" ref="K20">SUM((suiviparsecteur[Agriculture obj])*(suiviparsecteur[Année de suivi]=suiviannée[Colonne2]))</f>
        <v>2.1639999999999997</v>
      </c>
      <c r="L20" s="65"/>
      <c r="M20" s="56"/>
      <c r="N20" s="55"/>
      <c r="O20" s="55"/>
      <c r="P20" s="55"/>
      <c r="Q20" s="56"/>
      <c r="R20" s="55"/>
      <c r="S20" s="55"/>
      <c r="T20" s="56"/>
      <c r="U20" s="57"/>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c r="FN20" s="33"/>
      <c r="FO20" s="33"/>
      <c r="FP20" s="33"/>
      <c r="FQ20" s="33"/>
      <c r="FR20" s="33"/>
      <c r="FS20" s="33"/>
      <c r="FT20" s="33"/>
      <c r="FU20" s="33"/>
      <c r="FV20" s="33"/>
      <c r="FW20" s="33"/>
      <c r="FX20" s="33"/>
      <c r="FY20" s="33"/>
      <c r="FZ20" s="33"/>
      <c r="GA20" s="33"/>
      <c r="GB20" s="33"/>
      <c r="GC20" s="33"/>
      <c r="GD20" s="33"/>
      <c r="GE20" s="33"/>
      <c r="GF20" s="33"/>
      <c r="GG20" s="33"/>
      <c r="GH20" s="33"/>
      <c r="GI20" s="33"/>
      <c r="GJ20" s="33"/>
      <c r="GK20" s="33"/>
      <c r="GL20" s="33"/>
      <c r="GM20" s="33"/>
      <c r="GN20" s="33"/>
      <c r="GO20" s="33"/>
      <c r="GP20" s="33"/>
      <c r="GQ20" s="33"/>
      <c r="GR20" s="33"/>
      <c r="GS20" s="33"/>
      <c r="GT20" s="33"/>
      <c r="GU20" s="33"/>
      <c r="GV20" s="33"/>
      <c r="GW20" s="33"/>
      <c r="GX20" s="33"/>
      <c r="GY20" s="33"/>
      <c r="GZ20" s="33"/>
      <c r="HA20" s="33"/>
      <c r="HB20" s="33"/>
      <c r="HC20" s="33"/>
      <c r="HD20" s="33"/>
      <c r="HE20" s="33"/>
      <c r="HF20" s="33"/>
      <c r="HG20" s="33"/>
      <c r="HH20" s="33"/>
      <c r="HI20" s="33"/>
      <c r="HJ20" s="33"/>
      <c r="HK20" s="33"/>
      <c r="HL20" s="33"/>
      <c r="HM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33"/>
      <c r="IV20" s="33"/>
      <c r="IW20" s="33"/>
      <c r="IX20" s="33"/>
      <c r="IY20" s="33"/>
      <c r="IZ20" s="33"/>
      <c r="JA20" s="33"/>
      <c r="JB20" s="33"/>
      <c r="JC20" s="33"/>
      <c r="JD20" s="33"/>
      <c r="JE20" s="33"/>
      <c r="JF20" s="33"/>
      <c r="JG20" s="33"/>
      <c r="JH20" s="33"/>
      <c r="JI20" s="33"/>
      <c r="JJ20" s="33"/>
      <c r="JK20" s="33"/>
      <c r="JL20" s="33"/>
      <c r="JM20" s="33"/>
      <c r="JN20" s="33"/>
      <c r="JO20" s="33"/>
      <c r="JP20" s="33"/>
      <c r="JQ20" s="33"/>
      <c r="JR20" s="33"/>
      <c r="JS20" s="33"/>
      <c r="JT20" s="33"/>
      <c r="JU20" s="33"/>
      <c r="JV20" s="33"/>
      <c r="JW20" s="33"/>
      <c r="JX20" s="33"/>
      <c r="JY20" s="33"/>
      <c r="JZ20" s="33"/>
      <c r="KA20" s="33"/>
      <c r="KB20" s="33"/>
      <c r="KC20" s="33"/>
      <c r="KD20" s="33"/>
      <c r="KE20" s="33"/>
      <c r="KF20" s="33"/>
      <c r="KG20" s="33"/>
      <c r="KH20" s="33"/>
      <c r="KI20" s="33"/>
      <c r="KJ20" s="33"/>
      <c r="KK20" s="33"/>
      <c r="KL20" s="33"/>
      <c r="KM20" s="33"/>
      <c r="KN20" s="33"/>
      <c r="KO20" s="33"/>
      <c r="KP20" s="33"/>
      <c r="KQ20" s="33"/>
      <c r="KR20" s="33"/>
      <c r="KS20" s="33"/>
      <c r="KT20" s="33"/>
      <c r="KU20" s="33"/>
      <c r="KV20" s="33"/>
      <c r="KW20" s="33"/>
      <c r="KX20" s="33"/>
      <c r="KY20" s="33"/>
      <c r="KZ20" s="33"/>
      <c r="LA20" s="33"/>
      <c r="LB20" s="33"/>
      <c r="LC20" s="33"/>
      <c r="LD20" s="33"/>
      <c r="LE20" s="33"/>
      <c r="LF20" s="33"/>
      <c r="LG20" s="33"/>
      <c r="LH20" s="33"/>
      <c r="LI20" s="33"/>
      <c r="LJ20" s="33"/>
      <c r="LK20" s="33"/>
      <c r="LL20" s="33"/>
      <c r="LM20"/>
      <c r="LP20" s="2">
        <v>2028</v>
      </c>
      <c r="LQ20" s="332">
        <f>LQ12+(LQ22-LQ12)/15*13</f>
        <v>428.20722000000001</v>
      </c>
      <c r="LR20" s="332">
        <f>LR12+(LR22-LR12)/15*13</f>
        <v>454.19551999999999</v>
      </c>
      <c r="LS20" s="331">
        <f>SUM(suiviparsecteur[[#This Row],[Résidentiel réel]:[Agriculture réel]])</f>
        <v>599.73</v>
      </c>
      <c r="LT20" s="330">
        <f>LT12+(LT22-LT12)/15*13</f>
        <v>58.293333333333329</v>
      </c>
      <c r="LU20" s="330">
        <f>LU12+(LU22-LU12)/15*13</f>
        <v>61.759999999999991</v>
      </c>
      <c r="LV20" s="331">
        <f>$LV$12+'Axe 3 Milieu naturel et prod'!X46</f>
        <v>27.7</v>
      </c>
      <c r="LX20" s="303">
        <v>2028</v>
      </c>
      <c r="LY20" s="90">
        <f>$LY$12-'Axe 1 Logement et bâti'!X51</f>
        <v>157.4</v>
      </c>
      <c r="LZ20" s="100">
        <f>LZ12-'Axe 4 Économie BC'!X48</f>
        <v>57.5</v>
      </c>
      <c r="MA20" s="90">
        <f>$MA$12-'Axe 2 Déplacement'!X55</f>
        <v>215.5</v>
      </c>
      <c r="MB20" s="100">
        <f>$MB$12-'Axe 4 Économie BC'!X47</f>
        <v>166.1</v>
      </c>
      <c r="MC20" s="100">
        <f>MC12-'Axe 3 Milieu naturel et prod'!X44</f>
        <v>3.23</v>
      </c>
      <c r="MD20" s="301">
        <f>MD12+(MD22-MD12)/15*13</f>
        <v>131.05333333333334</v>
      </c>
      <c r="ME20" s="90">
        <f>ME12+(ME22-ME12)/15*13</f>
        <v>51</v>
      </c>
      <c r="MF20" s="90">
        <f>MF12+(MF22-MF12)/15*13</f>
        <v>146.60000000000002</v>
      </c>
      <c r="MG20" s="90">
        <f>MG12+(MG22-MG12)/15*13</f>
        <v>122.68</v>
      </c>
      <c r="MH20" s="305">
        <f>MH12+(MH22-MH12)/15*13</f>
        <v>2.1639999999999997</v>
      </c>
      <c r="MJ20" s="2">
        <v>2028</v>
      </c>
    </row>
    <row r="21" spans="2:348" s="2" customFormat="1" ht="50.25" customHeight="1">
      <c r="B21" s="79" t="s">
        <v>34</v>
      </c>
      <c r="C21" s="82" cm="1">
        <f t="array" ref="C21">SUM((consoenergie[Consommations : mesure réelle])*(consoenergie[Année de suivi]=suiviannée[Colonne2]))</f>
        <v>599.73</v>
      </c>
      <c r="D21" s="82" cm="1">
        <f t="array" ref="D21">SUM((consoenergie[EnR&amp;R : mesure réelle])*(consoenergie[Année de suivi]=suiviannée[Colonne2]))</f>
        <v>27.7</v>
      </c>
      <c r="E21" s="65"/>
      <c r="F21" s="79" t="s">
        <v>55</v>
      </c>
      <c r="G21" s="87">
        <f>(G20-LY12)/LY12</f>
        <v>-0.16738670055061414</v>
      </c>
      <c r="H21" s="81">
        <f>(H20-LZ12)/LZ12</f>
        <v>-0.11304347826086956</v>
      </c>
      <c r="I21" s="81">
        <f>(I20-MA12)/MA12</f>
        <v>-0.31972157772621801</v>
      </c>
      <c r="J21" s="81">
        <f>(J20-MB12)/MB12</f>
        <v>-0.261408789885611</v>
      </c>
      <c r="K21" s="81">
        <f>(K20-MC12)/MC12</f>
        <v>-0.33003095975232205</v>
      </c>
      <c r="L21" s="65"/>
      <c r="M21" s="56"/>
      <c r="N21" s="55"/>
      <c r="O21" s="55"/>
      <c r="P21" s="55"/>
      <c r="Q21" s="56"/>
      <c r="R21" s="55"/>
      <c r="S21" s="55"/>
      <c r="T21" s="56"/>
      <c r="U21" s="57"/>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c r="GH21" s="33"/>
      <c r="GI21" s="33"/>
      <c r="GJ21" s="33"/>
      <c r="GK21" s="33"/>
      <c r="GL21" s="33"/>
      <c r="GM21" s="33"/>
      <c r="GN21" s="33"/>
      <c r="GO21" s="33"/>
      <c r="GP21" s="33"/>
      <c r="GQ21" s="33"/>
      <c r="GR21" s="33"/>
      <c r="GS21" s="33"/>
      <c r="GT21" s="33"/>
      <c r="GU21" s="33"/>
      <c r="GV21" s="33"/>
      <c r="GW21" s="33"/>
      <c r="GX21" s="33"/>
      <c r="GY21" s="33"/>
      <c r="GZ21" s="33"/>
      <c r="HA21" s="33"/>
      <c r="HB21" s="33"/>
      <c r="HC21" s="33"/>
      <c r="HD21" s="33"/>
      <c r="HE21" s="33"/>
      <c r="HF21" s="33"/>
      <c r="HG21" s="33"/>
      <c r="HH21" s="33"/>
      <c r="HI21" s="33"/>
      <c r="HJ21" s="33"/>
      <c r="HK21" s="33"/>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33"/>
      <c r="IV21" s="33"/>
      <c r="IW21" s="33"/>
      <c r="IX21" s="33"/>
      <c r="IY21" s="33"/>
      <c r="IZ21" s="33"/>
      <c r="JA21" s="33"/>
      <c r="JB21" s="33"/>
      <c r="JC21" s="33"/>
      <c r="JD21" s="33"/>
      <c r="JE21" s="33"/>
      <c r="JF21" s="33"/>
      <c r="JG21" s="33"/>
      <c r="JH21" s="33"/>
      <c r="JI21" s="33"/>
      <c r="JJ21" s="33"/>
      <c r="JK21" s="33"/>
      <c r="JL21" s="33"/>
      <c r="JM21" s="33"/>
      <c r="JN21" s="33"/>
      <c r="JO21" s="33"/>
      <c r="JP21" s="33"/>
      <c r="JQ21" s="33"/>
      <c r="JR21" s="33"/>
      <c r="JS21" s="33"/>
      <c r="JT21" s="33"/>
      <c r="JU21" s="33"/>
      <c r="JV21" s="33"/>
      <c r="JW21" s="33"/>
      <c r="JX21" s="33"/>
      <c r="JY21" s="33"/>
      <c r="JZ21" s="33"/>
      <c r="KA21" s="33"/>
      <c r="KB21" s="33"/>
      <c r="KC21" s="33"/>
      <c r="KD21" s="33"/>
      <c r="KE21" s="33"/>
      <c r="KF21" s="33"/>
      <c r="KG21" s="33"/>
      <c r="KH21" s="33"/>
      <c r="KI21" s="33"/>
      <c r="KJ21" s="33"/>
      <c r="KK21" s="33"/>
      <c r="KL21" s="33"/>
      <c r="KM21" s="33"/>
      <c r="KN21" s="33"/>
      <c r="KO21" s="33"/>
      <c r="KP21" s="33"/>
      <c r="KQ21" s="33"/>
      <c r="KR21" s="33"/>
      <c r="KS21" s="33"/>
      <c r="KT21" s="33"/>
      <c r="KU21" s="33"/>
      <c r="KV21" s="33"/>
      <c r="KW21" s="33"/>
      <c r="KX21" s="33"/>
      <c r="KY21" s="33"/>
      <c r="KZ21" s="33"/>
      <c r="LA21" s="33"/>
      <c r="LB21" s="33"/>
      <c r="LC21" s="33"/>
      <c r="LD21" s="33"/>
      <c r="LE21" s="33"/>
      <c r="LF21" s="33"/>
      <c r="LG21" s="33"/>
      <c r="LH21" s="33"/>
      <c r="LI21" s="33"/>
      <c r="LJ21" s="33"/>
      <c r="LK21" s="33"/>
      <c r="LL21" s="33"/>
      <c r="LM21"/>
      <c r="LP21" s="2">
        <v>2029</v>
      </c>
      <c r="LQ21" s="332">
        <f>LQ12+(LQ22-LQ12)/15*14</f>
        <v>415.01315999999997</v>
      </c>
      <c r="LR21" s="332">
        <f>LR12+(LR22-LR12)/15*14</f>
        <v>443.00056000000001</v>
      </c>
      <c r="LS21" s="331">
        <f>SUM(suiviparsecteur[[#This Row],[Résidentiel réel]:[Agriculture réel]])</f>
        <v>599.73</v>
      </c>
      <c r="LT21" s="330">
        <f>LT12+(LT22-LT12)/15*14</f>
        <v>60.646666666666661</v>
      </c>
      <c r="LU21" s="330">
        <f>LU12+(LU22-LU12)/15*14</f>
        <v>64.38</v>
      </c>
      <c r="LV21" s="331">
        <f>$LV$12+'Axe 3 Milieu naturel et prod'!Y46</f>
        <v>27.7</v>
      </c>
      <c r="LX21" s="303">
        <v>2029</v>
      </c>
      <c r="LY21" s="90">
        <f>$LY$12-'Axe 1 Logement et bâti'!Y51</f>
        <v>157.4</v>
      </c>
      <c r="LZ21" s="100">
        <f>LZ12-'Axe 4 Économie BC'!Y48</f>
        <v>57.5</v>
      </c>
      <c r="MA21" s="90">
        <f>$MA$12-'Axe 2 Déplacement'!Y55</f>
        <v>215.5</v>
      </c>
      <c r="MB21" s="100">
        <f>$MB$12-'Axe 4 Économie BC'!Y47</f>
        <v>166.1</v>
      </c>
      <c r="MC21" s="100">
        <f>MC12-'Axe 3 Milieu naturel et prod'!Y44</f>
        <v>3.23</v>
      </c>
      <c r="MD21" s="301">
        <f>MD12+(MD22-MD12)/15*14</f>
        <v>129.02666666666667</v>
      </c>
      <c r="ME21" s="90">
        <f>ME12+(ME22-ME12)/15*14</f>
        <v>50.5</v>
      </c>
      <c r="MF21" s="90">
        <f>MF12+(MF22-MF12)/15*14</f>
        <v>141.30000000000001</v>
      </c>
      <c r="MG21" s="90">
        <f>MG12+(MG22-MG12)/15*14</f>
        <v>119.34</v>
      </c>
      <c r="MH21" s="305">
        <f>MH12+(MH22-MH12)/15*14</f>
        <v>2.0819999999999999</v>
      </c>
      <c r="MJ21" s="2">
        <v>2029</v>
      </c>
    </row>
    <row r="22" spans="2:348" s="2" customFormat="1" ht="50.25" customHeight="1">
      <c r="B22" s="79" t="s">
        <v>44</v>
      </c>
      <c r="C22" s="86">
        <f>((C20-C21)/C20)+1</f>
        <v>0.67957746478873227</v>
      </c>
      <c r="D22" s="317">
        <f>D21/D20</f>
        <v>0.44851036269430056</v>
      </c>
      <c r="E22" s="65"/>
      <c r="F22" s="79" t="s">
        <v>34</v>
      </c>
      <c r="G22" s="82">
        <f t="array" ref="G22">SUM((suiviparsecteur[Résidentiel réel])*(suiviparsecteur[Année de suivi]=suiviannée[Colonne2]))</f>
        <v>157.4</v>
      </c>
      <c r="H22" s="82">
        <f t="array" ref="H22">SUM((suiviparsecteur[Tertiaire réel])*(suiviparsecteur[Année de suivi]=suiviannée[Colonne2]))</f>
        <v>57.5</v>
      </c>
      <c r="I22" s="82">
        <f t="array" ref="I22">SUM((suiviparsecteur[Transport réel réel])*(suiviparsecteur[Année de suivi]=suiviannée[Colonne2]))</f>
        <v>215.5</v>
      </c>
      <c r="J22" s="82">
        <f t="array" ref="J22">SUM((suiviparsecteur[Industrie réel])*(suiviparsecteur[Année de suivi]=suiviannée[Colonne2]))</f>
        <v>166.1</v>
      </c>
      <c r="K22" s="82">
        <f t="array" ref="K22">SUM((suiviparsecteur[Agriculture réel])*(suiviparsecteur[Année de suivi]=suiviannée[Colonne2]))</f>
        <v>3.23</v>
      </c>
      <c r="L22" s="65"/>
      <c r="M22" s="56"/>
      <c r="N22" s="55"/>
      <c r="O22" s="55"/>
      <c r="P22" s="55"/>
      <c r="Q22" s="56"/>
      <c r="R22" s="55"/>
      <c r="S22" s="55"/>
      <c r="T22" s="56"/>
      <c r="U22" s="57"/>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c r="FS22" s="33"/>
      <c r="FT22" s="33"/>
      <c r="FU22" s="33"/>
      <c r="FV22" s="33"/>
      <c r="FW22" s="33"/>
      <c r="FX22" s="33"/>
      <c r="FY22" s="33"/>
      <c r="FZ22" s="33"/>
      <c r="GA22" s="33"/>
      <c r="GB22" s="33"/>
      <c r="GC22" s="33"/>
      <c r="GD22" s="33"/>
      <c r="GE22" s="33"/>
      <c r="GF22" s="33"/>
      <c r="GG22" s="33"/>
      <c r="GH22" s="33"/>
      <c r="GI22" s="33"/>
      <c r="GJ22" s="33"/>
      <c r="GK22" s="33"/>
      <c r="GL22" s="33"/>
      <c r="GM22" s="33"/>
      <c r="GN22" s="33"/>
      <c r="GO22" s="33"/>
      <c r="GP22" s="33"/>
      <c r="GQ22" s="33"/>
      <c r="GR22" s="33"/>
      <c r="GS22" s="33"/>
      <c r="GT22" s="33"/>
      <c r="GU22" s="33"/>
      <c r="GV22" s="33"/>
      <c r="GW22" s="33"/>
      <c r="GX22" s="33"/>
      <c r="GY22" s="33"/>
      <c r="GZ22" s="33"/>
      <c r="HA22" s="33"/>
      <c r="HB22" s="33"/>
      <c r="HC22" s="33"/>
      <c r="HD22" s="33"/>
      <c r="HE22" s="33"/>
      <c r="HF22" s="33"/>
      <c r="HG22" s="33"/>
      <c r="HH22" s="33"/>
      <c r="HI22" s="33"/>
      <c r="HJ22" s="33"/>
      <c r="HK22" s="33"/>
      <c r="HL22" s="33"/>
      <c r="HM22" s="33"/>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c r="IP22" s="33"/>
      <c r="IQ22" s="33"/>
      <c r="IR22" s="33"/>
      <c r="IS22" s="33"/>
      <c r="IT22" s="33"/>
      <c r="IU22" s="33"/>
      <c r="IV22" s="33"/>
      <c r="IW22" s="33"/>
      <c r="IX22" s="33"/>
      <c r="IY22" s="33"/>
      <c r="IZ22" s="33"/>
      <c r="JA22" s="33"/>
      <c r="JB22" s="33"/>
      <c r="JC22" s="33"/>
      <c r="JD22" s="33"/>
      <c r="JE22" s="33"/>
      <c r="JF22" s="33"/>
      <c r="JG22" s="33"/>
      <c r="JH22" s="33"/>
      <c r="JI22" s="33"/>
      <c r="JJ22" s="33"/>
      <c r="JK22" s="33"/>
      <c r="JL22" s="33"/>
      <c r="JM22" s="33"/>
      <c r="JN22" s="33"/>
      <c r="JO22" s="33"/>
      <c r="JP22" s="33"/>
      <c r="JQ22" s="33"/>
      <c r="JR22" s="33"/>
      <c r="JS22" s="33"/>
      <c r="JT22" s="33"/>
      <c r="JU22" s="33"/>
      <c r="JV22" s="33"/>
      <c r="JW22" s="33"/>
      <c r="JX22" s="33"/>
      <c r="JY22" s="33"/>
      <c r="JZ22" s="33"/>
      <c r="KA22" s="33"/>
      <c r="KB22" s="33"/>
      <c r="KC22" s="33"/>
      <c r="KD22" s="33"/>
      <c r="KE22" s="33"/>
      <c r="KF22" s="33"/>
      <c r="KG22" s="33"/>
      <c r="KH22" s="33"/>
      <c r="KI22" s="33"/>
      <c r="KJ22" s="33"/>
      <c r="KK22" s="33"/>
      <c r="KL22" s="33"/>
      <c r="KM22" s="33"/>
      <c r="KN22" s="33"/>
      <c r="KO22" s="33"/>
      <c r="KP22" s="33"/>
      <c r="KQ22" s="33"/>
      <c r="KR22" s="33"/>
      <c r="KS22" s="33"/>
      <c r="KT22" s="33"/>
      <c r="KU22" s="33"/>
      <c r="KV22" s="33"/>
      <c r="KW22" s="33"/>
      <c r="KX22" s="33"/>
      <c r="KY22" s="33"/>
      <c r="KZ22" s="33"/>
      <c r="LA22" s="33"/>
      <c r="LB22" s="33"/>
      <c r="LC22" s="33"/>
      <c r="LD22" s="33"/>
      <c r="LE22" s="33"/>
      <c r="LF22" s="33"/>
      <c r="LG22" s="33"/>
      <c r="LH22" s="33"/>
      <c r="LI22" s="33"/>
      <c r="LJ22" s="33"/>
      <c r="LK22" s="33"/>
      <c r="LL22" s="33"/>
      <c r="LM22"/>
      <c r="LP22" s="2">
        <v>2030</v>
      </c>
      <c r="LQ22" s="329">
        <f>LQ12-LQ12*0.33</f>
        <v>401.81909999999999</v>
      </c>
      <c r="LR22" s="329">
        <f>LR12-LR12*0.28</f>
        <v>431.80560000000003</v>
      </c>
      <c r="LS22" s="331">
        <f>SUM(suiviparsecteur[[#This Row],[Résidentiel réel]:[Agriculture réel]])</f>
        <v>599.73</v>
      </c>
      <c r="LT22" s="335">
        <v>63</v>
      </c>
      <c r="LU22" s="335">
        <v>67</v>
      </c>
      <c r="LV22" s="331">
        <f>$LV$12+'Axe 3 Milieu naturel et prod'!Z46</f>
        <v>27.7</v>
      </c>
      <c r="LX22" s="303">
        <v>2030</v>
      </c>
      <c r="LY22" s="90">
        <f>$LY$12-'Axe 1 Logement et bâti'!Z51</f>
        <v>157.4</v>
      </c>
      <c r="LZ22" s="100">
        <f>LZ12-'Axe 4 Économie BC'!Z48</f>
        <v>57.5</v>
      </c>
      <c r="MA22" s="90">
        <f>$MA$12-'Axe 2 Déplacement'!Z55</f>
        <v>215.5</v>
      </c>
      <c r="MB22" s="100">
        <f>$MB$12-'Axe 4 Économie BC'!Z47</f>
        <v>166.1</v>
      </c>
      <c r="MC22" s="90">
        <f>MC12-'Axe 3 Milieu naturel et prod'!Z44</f>
        <v>3.23</v>
      </c>
      <c r="MD22" s="302">
        <v>127</v>
      </c>
      <c r="ME22" s="299">
        <v>50</v>
      </c>
      <c r="MF22" s="299">
        <v>136</v>
      </c>
      <c r="MG22" s="299">
        <v>116</v>
      </c>
      <c r="MH22" s="306">
        <v>2</v>
      </c>
      <c r="MJ22" s="2">
        <v>2030</v>
      </c>
    </row>
    <row r="23" spans="2:348" s="2" customFormat="1" ht="50.25" customHeight="1">
      <c r="B23" s="56"/>
      <c r="C23" s="56"/>
      <c r="D23" s="56"/>
      <c r="E23" s="65"/>
      <c r="F23" s="79" t="s">
        <v>32</v>
      </c>
      <c r="G23" s="81">
        <f>(G22-LY12)/LY12</f>
        <v>0</v>
      </c>
      <c r="H23" s="81">
        <f>(H22-LZ12)/LZ12</f>
        <v>0</v>
      </c>
      <c r="I23" s="81">
        <f>(I22-MA12)/MA12</f>
        <v>0</v>
      </c>
      <c r="J23" s="81">
        <f>(J22-MB12)/MB12</f>
        <v>0</v>
      </c>
      <c r="K23" s="81">
        <f>(K22-MC12)/MC12</f>
        <v>0</v>
      </c>
      <c r="L23" s="65"/>
      <c r="M23" s="56"/>
      <c r="N23" s="55"/>
      <c r="O23" s="55"/>
      <c r="P23" s="55"/>
      <c r="Q23" s="56"/>
      <c r="R23" s="55"/>
      <c r="S23" s="55"/>
      <c r="T23" s="56"/>
      <c r="U23" s="57"/>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3"/>
      <c r="GA23" s="33"/>
      <c r="GB23" s="33"/>
      <c r="GC23" s="33"/>
      <c r="GD23" s="33"/>
      <c r="GE23" s="33"/>
      <c r="GF23" s="33"/>
      <c r="GG23" s="33"/>
      <c r="GH23" s="33"/>
      <c r="GI23" s="33"/>
      <c r="GJ23" s="33"/>
      <c r="GK23" s="33"/>
      <c r="GL23" s="33"/>
      <c r="GM23" s="33"/>
      <c r="GN23" s="33"/>
      <c r="GO23" s="33"/>
      <c r="GP23" s="33"/>
      <c r="GQ23" s="33"/>
      <c r="GR23" s="33"/>
      <c r="GS23" s="33"/>
      <c r="GT23" s="33"/>
      <c r="GU23" s="33"/>
      <c r="GV23" s="33"/>
      <c r="GW23" s="33"/>
      <c r="GX23" s="33"/>
      <c r="GY23" s="33"/>
      <c r="GZ23" s="33"/>
      <c r="HA23" s="33"/>
      <c r="HB23" s="33"/>
      <c r="HC23" s="33"/>
      <c r="HD23" s="33"/>
      <c r="HE23" s="33"/>
      <c r="HF23" s="33"/>
      <c r="HG23" s="33"/>
      <c r="HH23" s="33"/>
      <c r="HI23" s="33"/>
      <c r="HJ23" s="33"/>
      <c r="HK23" s="33"/>
      <c r="HL23" s="33"/>
      <c r="HM23" s="33"/>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3"/>
      <c r="IU23" s="33"/>
      <c r="IV23" s="33"/>
      <c r="IW23" s="33"/>
      <c r="IX23" s="33"/>
      <c r="IY23" s="33"/>
      <c r="IZ23" s="33"/>
      <c r="JA23" s="33"/>
      <c r="JB23" s="33"/>
      <c r="JC23" s="33"/>
      <c r="JD23" s="33"/>
      <c r="JE23" s="33"/>
      <c r="JF23" s="33"/>
      <c r="JG23" s="33"/>
      <c r="JH23" s="33"/>
      <c r="JI23" s="33"/>
      <c r="JJ23" s="33"/>
      <c r="JK23" s="33"/>
      <c r="JL23" s="33"/>
      <c r="JM23" s="33"/>
      <c r="JN23" s="33"/>
      <c r="JO23" s="33"/>
      <c r="JP23" s="33"/>
      <c r="JQ23" s="33"/>
      <c r="JR23" s="33"/>
      <c r="JS23" s="33"/>
      <c r="JT23" s="33"/>
      <c r="JU23" s="33"/>
      <c r="JV23" s="33"/>
      <c r="JW23" s="33"/>
      <c r="JX23" s="33"/>
      <c r="JY23" s="33"/>
      <c r="JZ23" s="33"/>
      <c r="KA23" s="33"/>
      <c r="KB23" s="33"/>
      <c r="KC23" s="33"/>
      <c r="KD23" s="33"/>
      <c r="KE23" s="33"/>
      <c r="KF23" s="33"/>
      <c r="KG23" s="33"/>
      <c r="KH23" s="33"/>
      <c r="KI23" s="33"/>
      <c r="KJ23" s="33"/>
      <c r="KK23" s="33"/>
      <c r="KL23" s="33"/>
      <c r="KM23" s="33"/>
      <c r="KN23" s="33"/>
      <c r="KO23" s="33"/>
      <c r="KP23" s="33"/>
      <c r="KQ23" s="33"/>
      <c r="KR23" s="33"/>
      <c r="KS23" s="33"/>
      <c r="KT23" s="33"/>
      <c r="KU23" s="33"/>
      <c r="KV23" s="33"/>
      <c r="KW23" s="33"/>
      <c r="KX23" s="33"/>
      <c r="KY23" s="33"/>
      <c r="KZ23" s="33"/>
      <c r="LA23" s="33"/>
      <c r="LB23" s="33"/>
      <c r="LC23" s="33"/>
      <c r="LD23" s="33"/>
      <c r="LE23" s="33"/>
      <c r="LF23" s="33"/>
      <c r="LG23" s="33"/>
      <c r="LH23" s="33"/>
      <c r="LI23" s="33"/>
      <c r="LJ23" s="33"/>
      <c r="LK23" s="33"/>
      <c r="LL23" s="33"/>
      <c r="LM23"/>
      <c r="LS23" s="331"/>
      <c r="LX23" s="303">
        <v>2050</v>
      </c>
      <c r="LY23" s="90"/>
      <c r="LZ23" s="90"/>
      <c r="MA23" s="90"/>
      <c r="MB23" s="90"/>
      <c r="MC23" s="90"/>
      <c r="MD23" s="302">
        <v>83</v>
      </c>
      <c r="ME23" s="299">
        <v>34</v>
      </c>
      <c r="MF23" s="299">
        <v>101</v>
      </c>
      <c r="MG23" s="299">
        <v>80</v>
      </c>
      <c r="MH23" s="306">
        <v>1</v>
      </c>
    </row>
    <row r="24" spans="2:348" s="2" customFormat="1" ht="50.25" customHeight="1">
      <c r="B24" s="56"/>
      <c r="C24" s="56"/>
      <c r="D24" s="56"/>
      <c r="E24" s="65"/>
      <c r="F24" s="79" t="s">
        <v>44</v>
      </c>
      <c r="G24" s="86">
        <f>((G20-G22)/G20)+1</f>
        <v>0.79896225455285386</v>
      </c>
      <c r="H24" s="86">
        <f>((H20-H22)/H20)+1</f>
        <v>0.87254901960784315</v>
      </c>
      <c r="I24" s="86">
        <f>((I20-I22)/I20)+1</f>
        <v>0.53001364256480243</v>
      </c>
      <c r="J24" s="86">
        <f>((J20-J22)/J20)+1</f>
        <v>0.64607107923051854</v>
      </c>
      <c r="K24" s="86">
        <f>((K20-K22)/K20)+1</f>
        <v>0.50739371534195921</v>
      </c>
      <c r="L24" s="65"/>
      <c r="M24" s="56"/>
      <c r="N24" s="55"/>
      <c r="O24" s="55"/>
      <c r="P24" s="55"/>
      <c r="Q24" s="56"/>
      <c r="R24" s="55"/>
      <c r="S24" s="55"/>
      <c r="T24" s="56"/>
      <c r="U24" s="57"/>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c r="FS24" s="33"/>
      <c r="FT24" s="33"/>
      <c r="FU24" s="33"/>
      <c r="FV24" s="33"/>
      <c r="FW24" s="33"/>
      <c r="FX24" s="33"/>
      <c r="FY24" s="33"/>
      <c r="FZ24" s="33"/>
      <c r="GA24" s="33"/>
      <c r="GB24" s="33"/>
      <c r="GC24" s="33"/>
      <c r="GD24" s="33"/>
      <c r="GE24" s="33"/>
      <c r="GF24" s="33"/>
      <c r="GG24" s="33"/>
      <c r="GH24" s="33"/>
      <c r="GI24" s="33"/>
      <c r="GJ24" s="33"/>
      <c r="GK24" s="33"/>
      <c r="GL24" s="33"/>
      <c r="GM24" s="33"/>
      <c r="GN24" s="33"/>
      <c r="GO24" s="33"/>
      <c r="GP24" s="33"/>
      <c r="GQ24" s="33"/>
      <c r="GR24" s="33"/>
      <c r="GS24" s="33"/>
      <c r="GT24" s="33"/>
      <c r="GU24" s="33"/>
      <c r="GV24" s="33"/>
      <c r="GW24" s="33"/>
      <c r="GX24" s="33"/>
      <c r="GY24" s="33"/>
      <c r="GZ24" s="33"/>
      <c r="HA24" s="33"/>
      <c r="HB24" s="33"/>
      <c r="HC24" s="33"/>
      <c r="HD24" s="33"/>
      <c r="HE24" s="33"/>
      <c r="HF24" s="33"/>
      <c r="HG24" s="33"/>
      <c r="HH24" s="33"/>
      <c r="HI24" s="33"/>
      <c r="HJ24" s="33"/>
      <c r="HK24" s="33"/>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3"/>
      <c r="IU24" s="33"/>
      <c r="IV24" s="33"/>
      <c r="IW24" s="33"/>
      <c r="IX24" s="33"/>
      <c r="IY24" s="33"/>
      <c r="IZ24" s="33"/>
      <c r="JA24" s="33"/>
      <c r="JB24" s="33"/>
      <c r="JC24" s="33"/>
      <c r="JD24" s="33"/>
      <c r="JE24" s="33"/>
      <c r="JF24" s="33"/>
      <c r="JG24" s="33"/>
      <c r="JH24" s="33"/>
      <c r="JI24" s="33"/>
      <c r="JJ24" s="33"/>
      <c r="JK24" s="33"/>
      <c r="JL24" s="33"/>
      <c r="JM24" s="33"/>
      <c r="JN24" s="33"/>
      <c r="JO24" s="33"/>
      <c r="JP24" s="33"/>
      <c r="JQ24" s="33"/>
      <c r="JR24" s="33"/>
      <c r="JS24" s="33"/>
      <c r="JT24" s="33"/>
      <c r="JU24" s="33"/>
      <c r="JV24" s="33"/>
      <c r="JW24" s="33"/>
      <c r="JX24" s="33"/>
      <c r="JY24" s="33"/>
      <c r="JZ24" s="33"/>
      <c r="KA24" s="33"/>
      <c r="KB24" s="33"/>
      <c r="KC24" s="33"/>
      <c r="KD24" s="33"/>
      <c r="KE24" s="33"/>
      <c r="KF24" s="33"/>
      <c r="KG24" s="33"/>
      <c r="KH24" s="33"/>
      <c r="KI24" s="33"/>
      <c r="KJ24" s="33"/>
      <c r="KK24" s="33"/>
      <c r="KL24" s="33"/>
      <c r="KM24" s="33"/>
      <c r="KN24" s="33"/>
      <c r="KO24" s="33"/>
      <c r="KP24" s="33"/>
      <c r="KQ24" s="33"/>
      <c r="KR24" s="33"/>
      <c r="KS24" s="33"/>
      <c r="KT24" s="33"/>
      <c r="KU24" s="33"/>
      <c r="KV24" s="33"/>
      <c r="KW24" s="33"/>
      <c r="KX24" s="33"/>
      <c r="KY24" s="33"/>
      <c r="KZ24" s="33"/>
      <c r="LA24" s="33"/>
      <c r="LB24" s="33"/>
      <c r="LC24" s="33"/>
      <c r="LD24" s="33"/>
      <c r="LE24" s="33"/>
      <c r="LF24" s="33"/>
      <c r="LG24" s="33"/>
      <c r="LH24" s="33"/>
      <c r="LI24" s="33"/>
      <c r="LJ24" s="33"/>
      <c r="LK24" s="33"/>
      <c r="LL24" s="33"/>
      <c r="LM24"/>
      <c r="LP24" s="2">
        <v>2050</v>
      </c>
      <c r="LQ24" s="329">
        <f>LQ12-LQ12*0.46</f>
        <v>323.85419999999999</v>
      </c>
      <c r="LR24" s="334">
        <f>LR12-LR12*0.5</f>
        <v>299.86500000000001</v>
      </c>
      <c r="LT24" s="367">
        <v>103</v>
      </c>
      <c r="LU24" s="367">
        <v>103</v>
      </c>
    </row>
    <row r="25" spans="2:348" s="2" customFormat="1" ht="50.25" customHeight="1">
      <c r="B25" s="56"/>
      <c r="C25" s="56"/>
      <c r="D25" s="56"/>
      <c r="E25" s="65"/>
      <c r="F25" s="65"/>
      <c r="G25" s="65"/>
      <c r="H25" s="65"/>
      <c r="I25" s="65"/>
      <c r="J25" s="65"/>
      <c r="K25" s="65"/>
      <c r="L25" s="65"/>
      <c r="M25" s="56"/>
      <c r="N25" s="55"/>
      <c r="O25" s="55"/>
      <c r="P25" s="55"/>
      <c r="Q25" s="56"/>
      <c r="R25" s="55"/>
      <c r="S25" s="55"/>
      <c r="T25" s="56"/>
      <c r="U25" s="57"/>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3"/>
      <c r="DQ25" s="33"/>
      <c r="DR25" s="33"/>
      <c r="DS25" s="33"/>
      <c r="DT25" s="33"/>
      <c r="DU25" s="33"/>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c r="FS25" s="33"/>
      <c r="FT25" s="33"/>
      <c r="FU25" s="33"/>
      <c r="FV25" s="33"/>
      <c r="FW25" s="33"/>
      <c r="FX25" s="33"/>
      <c r="FY25" s="33"/>
      <c r="FZ25" s="33"/>
      <c r="GA25" s="33"/>
      <c r="GB25" s="33"/>
      <c r="GC25" s="33"/>
      <c r="GD25" s="33"/>
      <c r="GE25" s="33"/>
      <c r="GF25" s="33"/>
      <c r="GG25" s="33"/>
      <c r="GH25" s="33"/>
      <c r="GI25" s="33"/>
      <c r="GJ25" s="33"/>
      <c r="GK25" s="33"/>
      <c r="GL25" s="33"/>
      <c r="GM25" s="33"/>
      <c r="GN25" s="33"/>
      <c r="GO25" s="33"/>
      <c r="GP25" s="33"/>
      <c r="GQ25" s="33"/>
      <c r="GR25" s="33"/>
      <c r="GS25" s="33"/>
      <c r="GT25" s="33"/>
      <c r="GU25" s="33"/>
      <c r="GV25" s="33"/>
      <c r="GW25" s="33"/>
      <c r="GX25" s="33"/>
      <c r="GY25" s="33"/>
      <c r="GZ25" s="33"/>
      <c r="HA25" s="33"/>
      <c r="HB25" s="33"/>
      <c r="HC25" s="33"/>
      <c r="HD25" s="33"/>
      <c r="HE25" s="33"/>
      <c r="HF25" s="33"/>
      <c r="HG25" s="33"/>
      <c r="HH25" s="33"/>
      <c r="HI25" s="33"/>
      <c r="HJ25" s="33"/>
      <c r="HK25" s="33"/>
      <c r="HL25" s="33"/>
      <c r="HM25" s="33"/>
      <c r="HN25" s="33"/>
      <c r="HO25" s="33"/>
      <c r="HP25" s="33"/>
      <c r="HQ25" s="33"/>
      <c r="HR25" s="33"/>
      <c r="HS25" s="33"/>
      <c r="HT25" s="33"/>
      <c r="HU25" s="33"/>
      <c r="HV25" s="33"/>
      <c r="HW25" s="33"/>
      <c r="HX25" s="33"/>
      <c r="HY25" s="33"/>
      <c r="HZ25" s="33"/>
      <c r="IA25" s="33"/>
      <c r="IB25" s="33"/>
      <c r="IC25" s="33"/>
      <c r="ID25" s="33"/>
      <c r="IE25" s="33"/>
      <c r="IF25" s="33"/>
      <c r="IG25" s="33"/>
      <c r="IH25" s="33"/>
      <c r="II25" s="33"/>
      <c r="IJ25" s="33"/>
      <c r="IK25" s="33"/>
      <c r="IL25" s="33"/>
      <c r="IM25" s="33"/>
      <c r="IN25" s="33"/>
      <c r="IO25" s="33"/>
      <c r="IP25" s="33"/>
      <c r="IQ25" s="33"/>
      <c r="IR25" s="33"/>
      <c r="IS25" s="33"/>
      <c r="IT25" s="33"/>
      <c r="IU25" s="33"/>
      <c r="IV25" s="33"/>
      <c r="IW25" s="33"/>
      <c r="IX25" s="33"/>
      <c r="IY25" s="33"/>
      <c r="IZ25" s="33"/>
      <c r="JA25" s="33"/>
      <c r="JB25" s="33"/>
      <c r="JC25" s="33"/>
      <c r="JD25" s="33"/>
      <c r="JE25" s="33"/>
      <c r="JF25" s="33"/>
      <c r="JG25" s="33"/>
      <c r="JH25" s="33"/>
      <c r="JI25" s="33"/>
      <c r="JJ25" s="33"/>
      <c r="JK25" s="33"/>
      <c r="JL25" s="33"/>
      <c r="JM25" s="33"/>
      <c r="JN25" s="33"/>
      <c r="JO25" s="33"/>
      <c r="JP25" s="33"/>
      <c r="JQ25" s="33"/>
      <c r="JR25" s="33"/>
      <c r="JS25" s="33"/>
      <c r="JT25" s="33"/>
      <c r="JU25" s="33"/>
      <c r="JV25" s="33"/>
      <c r="JW25" s="33"/>
      <c r="JX25" s="33"/>
      <c r="JY25" s="33"/>
      <c r="JZ25" s="33"/>
      <c r="KA25" s="33"/>
      <c r="KB25" s="33"/>
      <c r="KC25" s="33"/>
      <c r="KD25" s="33"/>
      <c r="KE25" s="33"/>
      <c r="KF25" s="33"/>
      <c r="KG25" s="33"/>
      <c r="KH25" s="33"/>
      <c r="KI25" s="33"/>
      <c r="KJ25" s="33"/>
      <c r="KK25" s="33"/>
      <c r="KL25" s="33"/>
      <c r="KM25" s="33"/>
      <c r="KN25" s="33"/>
      <c r="KO25" s="33"/>
      <c r="KP25" s="33"/>
      <c r="KQ25" s="33"/>
      <c r="KR25" s="33"/>
      <c r="KS25" s="33"/>
      <c r="KT25" s="33"/>
      <c r="KU25" s="33"/>
      <c r="KV25" s="33"/>
      <c r="KW25" s="33"/>
      <c r="KX25" s="33"/>
      <c r="KY25" s="33"/>
      <c r="KZ25" s="33"/>
      <c r="LA25" s="33"/>
      <c r="LB25" s="33"/>
      <c r="LC25" s="33"/>
      <c r="LD25" s="33"/>
      <c r="LE25" s="33"/>
      <c r="LF25" s="33"/>
      <c r="LG25" s="33"/>
      <c r="LH25" s="33"/>
      <c r="LI25" s="33"/>
      <c r="LJ25" s="33"/>
      <c r="LK25" s="33"/>
      <c r="LL25" s="33"/>
      <c r="LM25"/>
      <c r="MF25" s="316" t="s">
        <v>537</v>
      </c>
    </row>
    <row r="26" spans="2:348" s="2" customFormat="1" ht="50.25" customHeight="1">
      <c r="B26" s="75" t="s">
        <v>29</v>
      </c>
      <c r="C26" s="56"/>
      <c r="D26" s="56"/>
      <c r="E26" s="65"/>
      <c r="F26" s="65"/>
      <c r="G26" s="65"/>
      <c r="H26" s="65"/>
      <c r="I26" s="65"/>
      <c r="J26" s="65"/>
      <c r="K26" s="65"/>
      <c r="L26" s="65"/>
      <c r="M26" s="56"/>
      <c r="N26" s="55"/>
      <c r="O26" s="55"/>
      <c r="P26" s="55"/>
      <c r="Q26" s="56"/>
      <c r="R26" s="55"/>
      <c r="S26" s="55"/>
      <c r="T26" s="56"/>
      <c r="U26" s="57"/>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3"/>
      <c r="FR26" s="33"/>
      <c r="FS26" s="33"/>
      <c r="FT26" s="33"/>
      <c r="FU26" s="33"/>
      <c r="FV26" s="33"/>
      <c r="FW26" s="33"/>
      <c r="FX26" s="33"/>
      <c r="FY26" s="33"/>
      <c r="FZ26" s="33"/>
      <c r="GA26" s="33"/>
      <c r="GB26" s="33"/>
      <c r="GC26" s="33"/>
      <c r="GD26" s="33"/>
      <c r="GE26" s="33"/>
      <c r="GF26" s="33"/>
      <c r="GG26" s="33"/>
      <c r="GH26" s="33"/>
      <c r="GI26" s="33"/>
      <c r="GJ26" s="33"/>
      <c r="GK26" s="33"/>
      <c r="GL26" s="33"/>
      <c r="GM26" s="33"/>
      <c r="GN26" s="33"/>
      <c r="GO26" s="33"/>
      <c r="GP26" s="33"/>
      <c r="GQ26" s="33"/>
      <c r="GR26" s="33"/>
      <c r="GS26" s="33"/>
      <c r="GT26" s="33"/>
      <c r="GU26" s="33"/>
      <c r="GV26" s="33"/>
      <c r="GW26" s="33"/>
      <c r="GX26" s="33"/>
      <c r="GY26" s="33"/>
      <c r="GZ26" s="33"/>
      <c r="HA26" s="33"/>
      <c r="HB26" s="33"/>
      <c r="HC26" s="33"/>
      <c r="HD26" s="33"/>
      <c r="HE26" s="33"/>
      <c r="HF26" s="33"/>
      <c r="HG26" s="33"/>
      <c r="HH26" s="33"/>
      <c r="HI26" s="33"/>
      <c r="HJ26" s="33"/>
      <c r="HK26" s="33"/>
      <c r="HL26" s="33"/>
      <c r="HM26" s="33"/>
      <c r="HN26" s="33"/>
      <c r="HO26" s="33"/>
      <c r="HP26" s="33"/>
      <c r="HQ26" s="33"/>
      <c r="HR26" s="33"/>
      <c r="HS26" s="33"/>
      <c r="HT26" s="33"/>
      <c r="HU26" s="33"/>
      <c r="HV26" s="33"/>
      <c r="HW26" s="33"/>
      <c r="HX26" s="33"/>
      <c r="HY26" s="33"/>
      <c r="HZ26" s="33"/>
      <c r="IA26" s="33"/>
      <c r="IB26" s="33"/>
      <c r="IC26" s="33"/>
      <c r="ID26" s="33"/>
      <c r="IE26" s="33"/>
      <c r="IF26" s="33"/>
      <c r="IG26" s="33"/>
      <c r="IH26" s="33"/>
      <c r="II26" s="33"/>
      <c r="IJ26" s="33"/>
      <c r="IK26" s="33"/>
      <c r="IL26" s="33"/>
      <c r="IM26" s="33"/>
      <c r="IN26" s="33"/>
      <c r="IO26" s="33"/>
      <c r="IP26" s="33"/>
      <c r="IQ26" s="33"/>
      <c r="IR26" s="33"/>
      <c r="IS26" s="33"/>
      <c r="IT26" s="33"/>
      <c r="IU26" s="33"/>
      <c r="IV26" s="33"/>
      <c r="IW26" s="33"/>
      <c r="IX26" s="33"/>
      <c r="IY26" s="33"/>
      <c r="IZ26" s="33"/>
      <c r="JA26" s="33"/>
      <c r="JB26" s="33"/>
      <c r="JC26" s="33"/>
      <c r="JD26" s="33"/>
      <c r="JE26" s="33"/>
      <c r="JF26" s="33"/>
      <c r="JG26" s="33"/>
      <c r="JH26" s="33"/>
      <c r="JI26" s="33"/>
      <c r="JJ26" s="33"/>
      <c r="JK26" s="33"/>
      <c r="JL26" s="33"/>
      <c r="JM26" s="33"/>
      <c r="JN26" s="33"/>
      <c r="JO26" s="33"/>
      <c r="JP26" s="33"/>
      <c r="JQ26" s="33"/>
      <c r="JR26" s="33"/>
      <c r="JS26" s="33"/>
      <c r="JT26" s="33"/>
      <c r="JU26" s="33"/>
      <c r="JV26" s="33"/>
      <c r="JW26" s="33"/>
      <c r="JX26" s="33"/>
      <c r="JY26" s="33"/>
      <c r="JZ26" s="33"/>
      <c r="KA26" s="33"/>
      <c r="KB26" s="33"/>
      <c r="KC26" s="33"/>
      <c r="KD26" s="33"/>
      <c r="KE26" s="33"/>
      <c r="KF26" s="33"/>
      <c r="KG26" s="33"/>
      <c r="KH26" s="33"/>
      <c r="KI26" s="33"/>
      <c r="KJ26" s="33"/>
      <c r="KK26" s="33"/>
      <c r="KL26" s="33"/>
      <c r="KM26" s="33"/>
      <c r="KN26" s="33"/>
      <c r="KO26" s="33"/>
      <c r="KP26" s="33"/>
      <c r="KQ26" s="33"/>
      <c r="KR26" s="33"/>
      <c r="KS26" s="33"/>
      <c r="KT26" s="33"/>
      <c r="KU26" s="33"/>
      <c r="KV26" s="33"/>
      <c r="KW26" s="33"/>
      <c r="KX26" s="33"/>
      <c r="KY26" s="33"/>
      <c r="KZ26" s="33"/>
      <c r="LA26" s="33"/>
      <c r="LB26" s="33"/>
      <c r="LC26" s="33"/>
      <c r="LD26" s="33"/>
      <c r="LE26" s="33"/>
      <c r="LF26" s="33"/>
      <c r="LG26" s="33"/>
      <c r="LH26" s="33"/>
      <c r="LI26" s="33"/>
      <c r="LJ26" s="33"/>
      <c r="LK26" s="33"/>
      <c r="LL26" s="33"/>
      <c r="LM26"/>
    </row>
    <row r="27" spans="2:348" s="2" customFormat="1" ht="50.25" customHeight="1">
      <c r="B27" s="56"/>
      <c r="C27" s="56"/>
      <c r="D27" s="56"/>
      <c r="E27" s="65"/>
      <c r="F27" s="56"/>
      <c r="G27" s="65"/>
      <c r="H27" s="65"/>
      <c r="I27" s="56"/>
      <c r="J27" s="65"/>
      <c r="K27" s="56"/>
      <c r="L27" s="65"/>
      <c r="M27" s="56"/>
      <c r="N27" s="55"/>
      <c r="O27" s="55"/>
      <c r="P27" s="55"/>
      <c r="Q27" s="56"/>
      <c r="R27" s="55"/>
      <c r="S27" s="55"/>
      <c r="T27" s="56"/>
      <c r="U27" s="57"/>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33"/>
      <c r="GA27" s="33"/>
      <c r="GB27" s="33"/>
      <c r="GC27" s="33"/>
      <c r="GD27" s="33"/>
      <c r="GE27" s="33"/>
      <c r="GF27" s="33"/>
      <c r="GG27" s="33"/>
      <c r="GH27" s="33"/>
      <c r="GI27" s="33"/>
      <c r="GJ27" s="33"/>
      <c r="GK27" s="33"/>
      <c r="GL27" s="33"/>
      <c r="GM27" s="33"/>
      <c r="GN27" s="33"/>
      <c r="GO27" s="33"/>
      <c r="GP27" s="33"/>
      <c r="GQ27" s="33"/>
      <c r="GR27" s="33"/>
      <c r="GS27" s="33"/>
      <c r="GT27" s="33"/>
      <c r="GU27" s="33"/>
      <c r="GV27" s="33"/>
      <c r="GW27" s="33"/>
      <c r="GX27" s="33"/>
      <c r="GY27" s="33"/>
      <c r="GZ27" s="33"/>
      <c r="HA27" s="33"/>
      <c r="HB27" s="33"/>
      <c r="HC27" s="33"/>
      <c r="HD27" s="33"/>
      <c r="HE27" s="33"/>
      <c r="HF27" s="33"/>
      <c r="HG27" s="33"/>
      <c r="HH27" s="33"/>
      <c r="HI27" s="33"/>
      <c r="HJ27" s="33"/>
      <c r="HK27" s="33"/>
      <c r="HL27" s="33"/>
      <c r="HM27" s="33"/>
      <c r="HN27" s="33"/>
      <c r="HO27" s="33"/>
      <c r="HP27" s="33"/>
      <c r="HQ27" s="33"/>
      <c r="HR27" s="33"/>
      <c r="HS27" s="33"/>
      <c r="HT27" s="33"/>
      <c r="HU27" s="33"/>
      <c r="HV27" s="33"/>
      <c r="HW27" s="33"/>
      <c r="HX27" s="33"/>
      <c r="HY27" s="33"/>
      <c r="HZ27" s="33"/>
      <c r="IA27" s="33"/>
      <c r="IB27" s="33"/>
      <c r="IC27" s="33"/>
      <c r="ID27" s="33"/>
      <c r="IE27" s="33"/>
      <c r="IF27" s="33"/>
      <c r="IG27" s="33"/>
      <c r="IH27" s="33"/>
      <c r="II27" s="33"/>
      <c r="IJ27" s="33"/>
      <c r="IK27" s="33"/>
      <c r="IL27" s="33"/>
      <c r="IM27" s="33"/>
      <c r="IN27" s="33"/>
      <c r="IO27" s="33"/>
      <c r="IP27" s="33"/>
      <c r="IQ27" s="33"/>
      <c r="IR27" s="33"/>
      <c r="IS27" s="33"/>
      <c r="IT27" s="33"/>
      <c r="IU27" s="33"/>
      <c r="IV27" s="33"/>
      <c r="IW27" s="33"/>
      <c r="IX27" s="33"/>
      <c r="IY27" s="33"/>
      <c r="IZ27" s="33"/>
      <c r="JA27" s="33"/>
      <c r="JB27" s="33"/>
      <c r="JC27" s="33"/>
      <c r="JD27" s="33"/>
      <c r="JE27" s="33"/>
      <c r="JF27" s="33"/>
      <c r="JG27" s="33"/>
      <c r="JH27" s="33"/>
      <c r="JI27" s="33"/>
      <c r="JJ27" s="33"/>
      <c r="JK27" s="33"/>
      <c r="JL27" s="33"/>
      <c r="JM27" s="33"/>
      <c r="JN27" s="33"/>
      <c r="JO27" s="33"/>
      <c r="JP27" s="33"/>
      <c r="JQ27" s="33"/>
      <c r="JR27" s="33"/>
      <c r="JS27" s="33"/>
      <c r="JT27" s="33"/>
      <c r="JU27" s="33"/>
      <c r="JV27" s="33"/>
      <c r="JW27" s="33"/>
      <c r="JX27" s="33"/>
      <c r="JY27" s="33"/>
      <c r="JZ27" s="33"/>
      <c r="KA27" s="33"/>
      <c r="KB27" s="33"/>
      <c r="KC27" s="33"/>
      <c r="KD27" s="33"/>
      <c r="KE27" s="33"/>
      <c r="KF27" s="33"/>
      <c r="KG27" s="33"/>
      <c r="KH27" s="33"/>
      <c r="KI27" s="33"/>
      <c r="KJ27" s="33"/>
      <c r="KK27" s="33"/>
      <c r="KL27" s="33"/>
      <c r="KM27" s="33"/>
      <c r="KN27" s="33"/>
      <c r="KO27" s="33"/>
      <c r="KP27" s="33"/>
      <c r="KQ27" s="33"/>
      <c r="KR27" s="33"/>
      <c r="KS27" s="33"/>
      <c r="KT27" s="33"/>
      <c r="KU27" s="33"/>
      <c r="KV27" s="33"/>
      <c r="KW27" s="33"/>
      <c r="KX27" s="33"/>
      <c r="KY27" s="33"/>
      <c r="KZ27" s="33"/>
      <c r="LA27" s="33"/>
      <c r="LB27" s="33"/>
      <c r="LC27" s="33"/>
      <c r="LD27" s="33"/>
      <c r="LE27" s="33"/>
      <c r="LF27" s="33"/>
      <c r="LG27" s="33"/>
      <c r="LH27" s="33"/>
      <c r="LI27" s="33"/>
      <c r="LJ27" s="33"/>
      <c r="LK27" s="33"/>
      <c r="LL27" s="33"/>
      <c r="LM27"/>
      <c r="LQ27" s="298" t="s">
        <v>59</v>
      </c>
      <c r="LX27" s="33" t="s">
        <v>40</v>
      </c>
      <c r="MB27" s="2" t="s">
        <v>66</v>
      </c>
      <c r="MD27" s="369">
        <f>MD29-MD40</f>
        <v>14876</v>
      </c>
      <c r="ME27" s="369">
        <f t="shared" ref="ME27:MH27" si="0">ME29-ME40</f>
        <v>6864</v>
      </c>
      <c r="MF27" s="369">
        <f t="shared" si="0"/>
        <v>38748</v>
      </c>
      <c r="MG27" s="369">
        <f t="shared" si="0"/>
        <v>8712</v>
      </c>
      <c r="MH27" s="369">
        <f t="shared" si="0"/>
        <v>1969</v>
      </c>
    </row>
    <row r="28" spans="2:348" ht="50.25" customHeight="1">
      <c r="B28" s="74"/>
      <c r="C28" s="74"/>
      <c r="D28" s="76"/>
      <c r="E28" s="76"/>
      <c r="F28" s="76"/>
      <c r="G28" s="76"/>
      <c r="H28" s="78"/>
      <c r="I28" s="78"/>
      <c r="J28" s="78"/>
      <c r="K28" s="78"/>
      <c r="L28" s="78"/>
      <c r="M28" s="58"/>
      <c r="N28" s="59"/>
      <c r="O28" s="60"/>
      <c r="P28" s="60"/>
      <c r="Q28" s="60"/>
      <c r="R28" s="60"/>
      <c r="S28" s="60"/>
      <c r="T28" s="60"/>
      <c r="U28" s="54"/>
      <c r="LP28" s="33" t="s">
        <v>41</v>
      </c>
      <c r="LQ28" s="33" t="s">
        <v>60</v>
      </c>
      <c r="LR28" s="33" t="s">
        <v>62</v>
      </c>
      <c r="LS28" s="33" t="s">
        <v>61</v>
      </c>
      <c r="LT28" s="33" t="s">
        <v>63</v>
      </c>
      <c r="LU28" s="33" t="s">
        <v>64</v>
      </c>
      <c r="LV28" s="33" t="s">
        <v>65</v>
      </c>
      <c r="LW28" s="2"/>
      <c r="LX28" s="33" t="s">
        <v>41</v>
      </c>
      <c r="LY28" s="33" t="s">
        <v>45</v>
      </c>
      <c r="LZ28" s="33" t="s">
        <v>46</v>
      </c>
      <c r="MA28" s="33" t="s">
        <v>47</v>
      </c>
      <c r="MB28" s="33" t="s">
        <v>48</v>
      </c>
      <c r="MC28" s="33" t="s">
        <v>49</v>
      </c>
      <c r="MD28" s="308" t="s">
        <v>50</v>
      </c>
      <c r="ME28" s="309" t="s">
        <v>51</v>
      </c>
      <c r="MF28" s="309" t="s">
        <v>52</v>
      </c>
      <c r="MG28" s="309" t="s">
        <v>53</v>
      </c>
      <c r="MH28" s="310" t="s">
        <v>54</v>
      </c>
    </row>
    <row r="29" spans="2:348" ht="50.25" customHeight="1">
      <c r="B29" s="74"/>
      <c r="C29" s="74"/>
      <c r="D29" s="76"/>
      <c r="E29" s="76"/>
      <c r="F29" s="76"/>
      <c r="G29" s="76"/>
      <c r="H29" s="78"/>
      <c r="I29" s="78"/>
      <c r="J29" s="78"/>
      <c r="K29" s="78"/>
      <c r="L29" s="78"/>
      <c r="M29" s="58"/>
      <c r="N29" s="59"/>
      <c r="O29" s="60"/>
      <c r="P29" s="60"/>
      <c r="Q29" s="60"/>
      <c r="R29" s="60"/>
      <c r="S29" s="60"/>
      <c r="T29" s="60"/>
      <c r="U29" s="54"/>
      <c r="LP29" s="2">
        <v>2015</v>
      </c>
      <c r="LQ29" s="335">
        <f>GES[[#This Row],[GES : Mesure réelle]]</f>
        <v>101401</v>
      </c>
      <c r="LR29" s="335">
        <f>GES[[#This Row],[GES : Mesure réelle]]</f>
        <v>101401</v>
      </c>
      <c r="LS29" s="335">
        <v>101401</v>
      </c>
      <c r="LT29" s="335"/>
      <c r="LU29" s="335"/>
      <c r="LV29" s="335"/>
      <c r="LW29" s="2"/>
      <c r="LX29" s="2">
        <v>2015</v>
      </c>
      <c r="LY29" s="336">
        <f>18815</f>
        <v>18815</v>
      </c>
      <c r="LZ29" s="336">
        <v>8900</v>
      </c>
      <c r="MA29" s="336">
        <v>53914</v>
      </c>
      <c r="MB29" s="336">
        <v>15120</v>
      </c>
      <c r="MC29" s="336">
        <v>2875</v>
      </c>
      <c r="MD29" s="337">
        <f>suiviparsecteurGES[[#This Row],[Résidentiel réel]]</f>
        <v>18815</v>
      </c>
      <c r="ME29" s="338">
        <f>suiviparsecteurGES[[#This Row],[Tertiaire réel]]</f>
        <v>8900</v>
      </c>
      <c r="MF29" s="338">
        <f>suiviparsecteurGES[[#This Row],[Transport réel réel]]</f>
        <v>53914</v>
      </c>
      <c r="MG29" s="338">
        <f>suiviparsecteurGES[[#This Row],[Industrie réel]]</f>
        <v>15120</v>
      </c>
      <c r="MH29" s="339">
        <f>suiviparsecteurGES[[#This Row],[Agriculture réel]]</f>
        <v>2875</v>
      </c>
    </row>
    <row r="30" spans="2:348" ht="21">
      <c r="B30" s="74"/>
      <c r="C30" s="74"/>
      <c r="D30" s="76"/>
      <c r="E30" s="76"/>
      <c r="F30" s="76"/>
      <c r="G30" s="76"/>
      <c r="H30" s="78"/>
      <c r="I30" s="78"/>
      <c r="J30" s="78"/>
      <c r="K30" s="78"/>
      <c r="L30" s="78"/>
      <c r="M30" s="58"/>
      <c r="N30" s="59"/>
      <c r="O30" s="60"/>
      <c r="P30" s="60"/>
      <c r="Q30" s="60"/>
      <c r="R30" s="60"/>
      <c r="S30" s="60"/>
      <c r="T30" s="60"/>
      <c r="U30" s="54"/>
      <c r="LP30" s="2"/>
      <c r="LQ30" s="330"/>
      <c r="LR30" s="330"/>
      <c r="LS30" s="331"/>
      <c r="LT30" s="330"/>
      <c r="LU30" s="330"/>
      <c r="LV30" s="331"/>
      <c r="LW30" s="2"/>
      <c r="LX30" s="2"/>
      <c r="LY30" s="332"/>
      <c r="LZ30" s="340"/>
      <c r="MA30" s="340"/>
      <c r="MB30" s="340"/>
      <c r="MC30" s="340"/>
      <c r="MD30" s="337"/>
      <c r="ME30" s="338"/>
      <c r="MF30" s="338"/>
      <c r="MG30" s="338"/>
      <c r="MH30" s="339"/>
    </row>
    <row r="31" spans="2:348" ht="50.25" customHeight="1">
      <c r="B31" s="74"/>
      <c r="C31" s="74"/>
      <c r="D31" s="76"/>
      <c r="E31" s="76"/>
      <c r="F31" s="76"/>
      <c r="G31" s="76"/>
      <c r="H31" s="78"/>
      <c r="I31" s="78"/>
      <c r="J31" s="78"/>
      <c r="K31" s="78"/>
      <c r="L31" s="78"/>
      <c r="M31" s="58"/>
      <c r="N31" s="59"/>
      <c r="O31" s="60"/>
      <c r="P31" s="60"/>
      <c r="Q31" s="60"/>
      <c r="R31" s="60"/>
      <c r="S31" s="60"/>
      <c r="T31" s="60"/>
      <c r="U31" s="54"/>
      <c r="LP31" s="2">
        <v>2022</v>
      </c>
      <c r="LQ31" s="330">
        <f>LQ29+(LQ39-LQ29)/15*7</f>
        <v>84365.631999999998</v>
      </c>
      <c r="LR31" s="330">
        <f>LR29+(LR39-LR29)/15*7</f>
        <v>83892.427333333326</v>
      </c>
      <c r="LS31" s="331" cm="1">
        <f t="array" ref="LS31">LS29-(SUM((recap_habitat[Unité]="TeqCO2")*(recap_habitat[2022*]))+SUM((recap_mobilite[Unité]="TeqCO2")*(recap_mobilite[2022*]))+SUM((recap_Economie[Unité]="TeqCO2")*(recap_Economie[2022*]))+SUM((recap_environnement[Unité]="TeqCO2")*(recap_environnement[2022*]))+SUM((recap_exemplarité[Unité]="TeqCO2")*(recap_exemplarité[2022*])))</f>
        <v>101292.2262295082</v>
      </c>
      <c r="LT31" s="330"/>
      <c r="LU31" s="330"/>
      <c r="LV31" s="331"/>
      <c r="LW31" s="2"/>
      <c r="LX31" s="2">
        <v>2022</v>
      </c>
      <c r="LY31" s="338">
        <f>LY29-'Axe 1 Logement et bâti'!R52</f>
        <v>18815</v>
      </c>
      <c r="LZ31" s="340">
        <f>$LZ$29-'Axe 4 Économie BC'!R50</f>
        <v>8900</v>
      </c>
      <c r="MA31" s="340">
        <f>$MA$29-'Axe 2 Déplacement'!R56</f>
        <v>53914</v>
      </c>
      <c r="MB31" s="340">
        <f>$MB$29-'Axe 4 Économie BC'!R49</f>
        <v>15120</v>
      </c>
      <c r="MC31" s="340">
        <f>$MC$29-'Axe 3 Milieu naturel et prod'!R45</f>
        <v>2875</v>
      </c>
      <c r="MD31" s="337">
        <f>MD29+(MD39-MD29)/15*7</f>
        <v>15544.133333333333</v>
      </c>
      <c r="ME31" s="338">
        <f>ME29+(ME39-ME29)/15*7</f>
        <v>7397.3333333333339</v>
      </c>
      <c r="MF31" s="338">
        <f>MF29+(MF39-MF29)/15*7</f>
        <v>42104.066666666666</v>
      </c>
      <c r="MG31" s="338">
        <f>MG29+(MG40-MG29)/35*7</f>
        <v>13377.6</v>
      </c>
      <c r="MH31" s="339">
        <f>MH29+(MH39-MH29)/15*7</f>
        <v>2478.8000000000002</v>
      </c>
    </row>
    <row r="32" spans="2:348" ht="50.25" customHeight="1">
      <c r="B32" s="74"/>
      <c r="C32" s="74"/>
      <c r="D32" s="76"/>
      <c r="E32" s="76"/>
      <c r="F32" s="76"/>
      <c r="G32" s="76"/>
      <c r="H32" s="78"/>
      <c r="I32" s="78"/>
      <c r="J32" s="78"/>
      <c r="K32" s="78"/>
      <c r="L32" s="78"/>
      <c r="M32" s="58"/>
      <c r="N32" s="59"/>
      <c r="O32" s="60"/>
      <c r="P32" s="60"/>
      <c r="Q32" s="60"/>
      <c r="R32" s="60"/>
      <c r="S32" s="60"/>
      <c r="T32" s="60"/>
      <c r="U32" s="54"/>
      <c r="LP32" s="2">
        <v>2023</v>
      </c>
      <c r="LQ32" s="330">
        <f>LQ29+(LQ39-LQ29)/15*8</f>
        <v>81932.008000000002</v>
      </c>
      <c r="LR32" s="330">
        <f>LR29+(LR39-LR29)/15*8</f>
        <v>81391.202666666664</v>
      </c>
      <c r="LS32" s="331" cm="1">
        <f t="array" ref="LS32">LS29-(SUM((recap_habitat[Unité]="TeqCO2")*(recap_habitat[2023*]))+SUM((recap_mobilite[Unité]="TeqCO2")*(recap_mobilite[2023*]))+SUM((recap_Economie[Unité]="TeqCO2")*(recap_Economie[2023*]))+SUM((recap_environnement[Unité]="TeqCO2")*(recap_environnement[2023*]))+SUM((recap_exemplarité[Unité]="TeqCO2")*(recap_exemplarité[2023*])))</f>
        <v>100857.13114754099</v>
      </c>
      <c r="LT32" s="330"/>
      <c r="LU32" s="330"/>
      <c r="LV32" s="331"/>
      <c r="LW32" s="2"/>
      <c r="LX32" s="2">
        <v>2023</v>
      </c>
      <c r="LY32" s="338">
        <f>LY29-'Axe 1 Logement et bâti'!S52</f>
        <v>18815</v>
      </c>
      <c r="LZ32" s="340">
        <f>$LZ$29-'Axe 4 Économie BC'!S50</f>
        <v>8900</v>
      </c>
      <c r="MA32" s="340">
        <f>$MA$29-'Axe 2 Déplacement'!S56</f>
        <v>53914</v>
      </c>
      <c r="MB32" s="340">
        <f>$MB$29-'Axe 4 Économie BC'!S49</f>
        <v>15120</v>
      </c>
      <c r="MC32" s="340">
        <f>$MC$29-'Axe 3 Milieu naturel et prod'!S45</f>
        <v>2875</v>
      </c>
      <c r="MD32" s="337">
        <f>MD29+(MD39-MD29)/15*8</f>
        <v>15076.866666666667</v>
      </c>
      <c r="ME32" s="338">
        <f>ME29+(ME39-ME29)/15*8</f>
        <v>7182.666666666667</v>
      </c>
      <c r="MF32" s="338">
        <f>MF29+(MF39-MF29)/15*8</f>
        <v>40416.933333333334</v>
      </c>
      <c r="MG32" s="338">
        <f>MG29+(MG40-MG29)/35*8</f>
        <v>13128.685714285715</v>
      </c>
      <c r="MH32" s="339">
        <f>MH29+(MH39-MH29)/15*8</f>
        <v>2422.1999999999998</v>
      </c>
    </row>
    <row r="33" spans="2:346" ht="50.25" customHeight="1">
      <c r="B33" s="74"/>
      <c r="C33" s="74"/>
      <c r="D33" s="76"/>
      <c r="E33" s="76"/>
      <c r="F33" s="76"/>
      <c r="G33" s="76"/>
      <c r="H33" s="78"/>
      <c r="I33" s="78"/>
      <c r="J33" s="78"/>
      <c r="K33" s="78"/>
      <c r="L33" s="78"/>
      <c r="M33" s="58"/>
      <c r="N33" s="59"/>
      <c r="O33" s="60"/>
      <c r="P33" s="60"/>
      <c r="Q33" s="60"/>
      <c r="R33" s="60"/>
      <c r="S33" s="60"/>
      <c r="T33" s="60"/>
      <c r="U33" s="54"/>
      <c r="LP33" s="2">
        <v>2024</v>
      </c>
      <c r="LQ33" s="330">
        <f>LQ29+(LQ39-LQ29)/15*9</f>
        <v>79498.383999999991</v>
      </c>
      <c r="LR33" s="330">
        <f>LR29+(LR39-LR29)/15*9</f>
        <v>78889.978000000003</v>
      </c>
      <c r="LS33" s="331" cm="1">
        <f t="array" ref="LS33">LS29-(SUM((recap_habitat[Unité]="TeqCO2")*(recap_habitat[2024*]))+SUM((recap_mobilite[Unité]="TeqCO2")*(recap_mobilite[2024*]))+SUM((recap_Economie[Unité]="TeqCO2")*(recap_Economie[2024*]))+SUM((recap_environnement[Unité]="TeqCO2")*(recap_environnement[2024*]))+SUM((recap_exemplarité[Unité]="TeqCO2")*(recap_exemplarité[2024*])))</f>
        <v>100748.35737704918</v>
      </c>
      <c r="LT33" s="330"/>
      <c r="LU33" s="330"/>
      <c r="LV33" s="331"/>
      <c r="LW33" s="2"/>
      <c r="LX33" s="2">
        <v>2024</v>
      </c>
      <c r="LY33" s="338">
        <f>LY29-'Axe 1 Logement et bâti'!T52</f>
        <v>18815</v>
      </c>
      <c r="LZ33" s="340">
        <f>$LZ$29-'Axe 4 Économie BC'!T50</f>
        <v>8900</v>
      </c>
      <c r="MA33" s="340">
        <f>$MA$29-'Axe 2 Déplacement'!T56</f>
        <v>53914</v>
      </c>
      <c r="MB33" s="340">
        <f>$MB$29-'Axe 4 Économie BC'!T49</f>
        <v>15120</v>
      </c>
      <c r="MC33" s="340">
        <f>$MC$29-'Axe 3 Milieu naturel et prod'!T45</f>
        <v>2875</v>
      </c>
      <c r="MD33" s="337">
        <f>MD29+(MD39-MD29)/15*9</f>
        <v>14609.6</v>
      </c>
      <c r="ME33" s="338">
        <f>ME29+(ME39-ME29)/15*9</f>
        <v>6968</v>
      </c>
      <c r="MF33" s="338">
        <f>MF29+(MF39-MF29)/15*9</f>
        <v>38729.800000000003</v>
      </c>
      <c r="MG33" s="338">
        <f>MG29+(MG40-MG29)/35*9</f>
        <v>12879.771428571428</v>
      </c>
      <c r="MH33" s="339">
        <f>MH29+(MH39-MH29)/15*9</f>
        <v>2365.6</v>
      </c>
    </row>
    <row r="34" spans="2:346" ht="50.25" customHeight="1">
      <c r="B34" s="74"/>
      <c r="C34" s="74"/>
      <c r="D34" s="76"/>
      <c r="E34" s="76"/>
      <c r="F34" s="76"/>
      <c r="G34" s="76"/>
      <c r="H34" s="78"/>
      <c r="I34" s="78"/>
      <c r="J34" s="78"/>
      <c r="K34" s="78"/>
      <c r="L34" s="78"/>
      <c r="M34" s="58"/>
      <c r="N34" s="59"/>
      <c r="O34" s="60"/>
      <c r="P34" s="61"/>
      <c r="Q34" s="61"/>
      <c r="R34" s="61"/>
      <c r="S34" s="61"/>
      <c r="T34" s="61"/>
      <c r="U34" s="54"/>
      <c r="LP34" s="2">
        <v>2025</v>
      </c>
      <c r="LQ34" s="330">
        <f>LQ29+(LQ39-LQ29)/15*10</f>
        <v>77064.759999999995</v>
      </c>
      <c r="LR34" s="330">
        <f>LR29+(LR39-LR29)/15*10</f>
        <v>76388.753333333327</v>
      </c>
      <c r="LS34" s="331" cm="1">
        <f t="array" ref="LS34">LS29-(SUM((recap_habitat[Unité]="TeqCO2")*(recap_habitat[2025*]))+SUM((recap_mobilite[Unité]="TeqCO2")*(recap_mobilite[2025*]))+SUM((recap_Economie[Unité]="TeqCO2")*(recap_Economie[2025*]))+SUM((recap_environnement[Unité]="TeqCO2")*(recap_environnement[2025*]))+SUM((recap_exemplarité[Unité]="TeqCO2")*(recap_exemplarité[2025*])))</f>
        <v>100639.58360655738</v>
      </c>
      <c r="LT34" s="330"/>
      <c r="LU34" s="330"/>
      <c r="LV34" s="331"/>
      <c r="LW34" s="2"/>
      <c r="LX34" s="2">
        <v>2025</v>
      </c>
      <c r="LY34" s="338">
        <f>LY29-'Axe 1 Logement et bâti'!U52</f>
        <v>18815</v>
      </c>
      <c r="LZ34" s="340">
        <f>$LZ$29-'Axe 4 Économie BC'!U50</f>
        <v>8900</v>
      </c>
      <c r="MA34" s="340">
        <f>$MA$29-'Axe 2 Déplacement'!U56</f>
        <v>53914</v>
      </c>
      <c r="MB34" s="340">
        <f>$MB$29-'Axe 4 Économie BC'!U49</f>
        <v>15120</v>
      </c>
      <c r="MC34" s="340">
        <f>$MC$29-'Axe 3 Milieu naturel et prod'!U45</f>
        <v>2875</v>
      </c>
      <c r="MD34" s="337">
        <f>MD29+(MD39-MD29)/15*10</f>
        <v>14142.333333333334</v>
      </c>
      <c r="ME34" s="338">
        <f>ME29+(ME39-ME29)/15*10</f>
        <v>6753.3333333333339</v>
      </c>
      <c r="MF34" s="338">
        <f>MF29+(MF39-MF29)/15*10</f>
        <v>37042.666666666664</v>
      </c>
      <c r="MG34" s="338">
        <f>MG29+(MG40-MG29)/35*10</f>
        <v>12630.857142857143</v>
      </c>
      <c r="MH34" s="339">
        <f>MH29+(MH39-MH29)/15*10</f>
        <v>2309</v>
      </c>
    </row>
    <row r="35" spans="2:346" ht="50.25" customHeight="1">
      <c r="B35" s="79"/>
      <c r="C35" s="79" t="s">
        <v>57</v>
      </c>
      <c r="D35" s="363"/>
      <c r="E35" s="76"/>
      <c r="F35" s="79" t="s">
        <v>58</v>
      </c>
      <c r="G35" s="79" t="s">
        <v>0</v>
      </c>
      <c r="H35" s="91" t="s">
        <v>1</v>
      </c>
      <c r="I35" s="91" t="s">
        <v>38</v>
      </c>
      <c r="J35" s="91" t="s">
        <v>39</v>
      </c>
      <c r="K35" s="79" t="s">
        <v>2</v>
      </c>
      <c r="L35" s="78"/>
      <c r="M35" s="58"/>
      <c r="N35" s="59"/>
      <c r="O35" s="60"/>
      <c r="P35" s="60"/>
      <c r="Q35" s="60"/>
      <c r="R35" s="60"/>
      <c r="S35" s="60"/>
      <c r="T35" s="60"/>
      <c r="U35" s="54"/>
      <c r="LP35" s="2">
        <v>2026</v>
      </c>
      <c r="LQ35" s="330">
        <f>LQ29+(LQ39-LQ29)/15*11</f>
        <v>74631.135999999999</v>
      </c>
      <c r="LR35" s="330">
        <f>LR29+(LR39-LR29)/15*11</f>
        <v>73887.528666666665</v>
      </c>
      <c r="LS35" s="331" cm="1">
        <f t="array" ref="LS35">LS29-(SUM((recap_habitat[Unité]="TeqCO2")*(recap_habitat[2026*]))+SUM((recap_mobilite[Unité]="TeqCO2")*(recap_mobilite[2026*]))+SUM((recap_Economie[Unité]="TeqCO2")*(recap_Economie[2026*]))+SUM((recap_environnement[Unité]="TeqCO2")*(recap_environnement[2026*]))+SUM((recap_exemplarité[Unité]="TeqCO2")*(recap_exemplarité[2026*])))</f>
        <v>100530.80983606557</v>
      </c>
      <c r="LT35" s="330"/>
      <c r="LU35" s="330"/>
      <c r="LV35" s="331"/>
      <c r="LW35" s="2"/>
      <c r="LX35" s="2">
        <v>2026</v>
      </c>
      <c r="LY35" s="338">
        <f>LY29-'Axe 1 Logement et bâti'!V52</f>
        <v>18815</v>
      </c>
      <c r="LZ35" s="340">
        <f>$LZ$29-'Axe 4 Économie BC'!V50</f>
        <v>8900</v>
      </c>
      <c r="MA35" s="340">
        <f>$MA$29-'Axe 2 Déplacement'!V56</f>
        <v>53914</v>
      </c>
      <c r="MB35" s="340">
        <f>$MB$29-'Axe 4 Économie BC'!V49</f>
        <v>15120</v>
      </c>
      <c r="MC35" s="340">
        <f>$MC$29-'Axe 3 Milieu naturel et prod'!V45</f>
        <v>2875</v>
      </c>
      <c r="MD35" s="337">
        <v>274695</v>
      </c>
      <c r="ME35" s="338">
        <v>150782</v>
      </c>
      <c r="MF35" s="338">
        <v>473514</v>
      </c>
      <c r="MG35" s="338">
        <f>MG29+(MG40-MG29)/35*11</f>
        <v>12381.942857142858</v>
      </c>
      <c r="MH35" s="339">
        <v>17501</v>
      </c>
    </row>
    <row r="36" spans="2:346" ht="50.25" customHeight="1">
      <c r="B36" s="79" t="s">
        <v>56</v>
      </c>
      <c r="C36" s="80">
        <f t="array" ref="C36">SUM((GES[GES : Objectif stratégie])*(GES[Année de suivi]=suiviannée[Colonne2]))</f>
        <v>68885.079333333328</v>
      </c>
      <c r="D36" s="364"/>
      <c r="E36" s="76"/>
      <c r="F36" s="79" t="s">
        <v>56</v>
      </c>
      <c r="G36" s="82">
        <f t="array" ref="G36">SUM((suiviparsecteurGES[Résidentiel objectif])*(suiviparsecteurGES[Année de suivi]=suiviannée[Colonne2]))</f>
        <v>12740.533333333333</v>
      </c>
      <c r="H36" s="82">
        <f t="array" ref="H36">SUM((suiviparsecteurGES[Tertiaire obj])*(suiviparsecteurGES[Année de suivi]=suiviannée[Colonne2]))</f>
        <v>6109.3333333333339</v>
      </c>
      <c r="I36" s="82">
        <f t="array" ref="I36">SUM((suiviparsecteurGES[Transport obj])*(suiviparsecteurGES[Année de suivi]=suiviannée[Colonne2]))</f>
        <v>31981.266666666666</v>
      </c>
      <c r="J36" s="82">
        <f t="array" ref="J36">SUM((suiviparsecteurGES[Industrie obj])*(suiviparsecteurGES[Année de suivi]=suiviannée[Colonne2]))</f>
        <v>11884.114285714286</v>
      </c>
      <c r="K36" s="82" cm="1">
        <f t="array" ref="K36">SUM((suiviparsecteurGES[Agriculture obj])*(suiviparsecteurGES[Année de suivi]=suiviannée[Colonne2]))</f>
        <v>2139.1999999999998</v>
      </c>
      <c r="L36" s="78"/>
      <c r="M36" s="58"/>
      <c r="N36" s="59"/>
      <c r="O36" s="60"/>
      <c r="P36" s="60"/>
      <c r="Q36" s="60"/>
      <c r="R36" s="60"/>
      <c r="S36" s="60"/>
      <c r="T36" s="60"/>
      <c r="U36" s="54"/>
      <c r="LP36" s="2">
        <v>2027</v>
      </c>
      <c r="LQ36" s="330">
        <f>LQ29+(LQ39-LQ29)/15*12</f>
        <v>72197.511999999988</v>
      </c>
      <c r="LR36" s="330">
        <f>LR29+(LR39-LR29)/15*12</f>
        <v>71386.304000000004</v>
      </c>
      <c r="LS36" s="331" cm="1">
        <f t="array" ref="LS36">LS29-(SUM((recap_habitat[Unité]="TeqCO2")*(recap_habitat[2027*]))+SUM((recap_mobilite[Unité]="TeqCO2")*(recap_mobilite[2027*]))+SUM((recap_Economie[Unité]="TeqCO2")*(recap_Economie[2027*]))+SUM((recap_environnement[Unité]="TeqCO2")*(recap_environnement[2027*]))+SUM((recap_exemplarité[Unité]="TeqCO2")*(recap_exemplarité[2027*])))</f>
        <v>100422.03606557377</v>
      </c>
      <c r="LT36" s="330"/>
      <c r="LU36" s="330"/>
      <c r="LV36" s="331"/>
      <c r="LW36" s="2"/>
      <c r="LX36" s="2">
        <v>2027</v>
      </c>
      <c r="LY36" s="338">
        <f>LY29-'Axe 1 Logement et bâti'!W52</f>
        <v>18815</v>
      </c>
      <c r="LZ36" s="340">
        <f>$LZ$29-'Axe 4 Économie BC'!W50</f>
        <v>8900</v>
      </c>
      <c r="MA36" s="340">
        <f>$MA$29-'Axe 2 Déplacement'!W56</f>
        <v>53914</v>
      </c>
      <c r="MB36" s="340">
        <f>$MB$29-'Axe 4 Économie BC'!W49</f>
        <v>15120</v>
      </c>
      <c r="MC36" s="340">
        <f>$MC$29-'Axe 3 Milieu naturel et prod'!W45</f>
        <v>2875</v>
      </c>
      <c r="MD36" s="337">
        <f>MD29+(MD39-MD29)/15*12</f>
        <v>13207.8</v>
      </c>
      <c r="ME36" s="338">
        <f>ME29+(ME39-ME29)/15*12</f>
        <v>6324</v>
      </c>
      <c r="MF36" s="338">
        <f>MF29+(MF39-MF29)/15*12</f>
        <v>33668.399999999994</v>
      </c>
      <c r="MG36" s="338">
        <f>MG29+(MG40-MG29)/35*12</f>
        <v>12133.028571428571</v>
      </c>
      <c r="MH36" s="339">
        <f>MH29+(MH39-MH29)/15*12</f>
        <v>2195.8000000000002</v>
      </c>
    </row>
    <row r="37" spans="2:346" ht="50.25" customHeight="1">
      <c r="B37" s="79" t="s">
        <v>34</v>
      </c>
      <c r="C37" s="82">
        <f t="array" ref="C37">SUM((GES[GES : Mesure réelle])*(GES[Année de suivi]=suiviannée[Colonne2]))</f>
        <v>100313.26229508196</v>
      </c>
      <c r="D37" s="365"/>
      <c r="E37" s="76"/>
      <c r="F37" s="79" t="s">
        <v>55</v>
      </c>
      <c r="G37" s="87">
        <f>(G36-LY29)/LY29</f>
        <v>-0.32285233413056963</v>
      </c>
      <c r="H37" s="87">
        <f>(H36-LZ29)/LZ29</f>
        <v>-0.31355805243445684</v>
      </c>
      <c r="I37" s="87">
        <f>(I36-MA29)/MA29</f>
        <v>-0.40680961036712787</v>
      </c>
      <c r="J37" s="87">
        <f>(J36-MB29)/MB29</f>
        <v>-0.21401360544217687</v>
      </c>
      <c r="K37" s="87">
        <f>(K36-MC29)/MC29</f>
        <v>-0.25593043478260874</v>
      </c>
      <c r="L37" s="78"/>
      <c r="M37" s="58"/>
      <c r="N37" s="59"/>
      <c r="O37" s="60"/>
      <c r="P37" s="60"/>
      <c r="Q37" s="60"/>
      <c r="R37" s="60"/>
      <c r="S37" s="60"/>
      <c r="T37" s="60"/>
      <c r="U37" s="54"/>
      <c r="LP37" s="2">
        <v>2028</v>
      </c>
      <c r="LQ37" s="330">
        <f>LQ29+(LQ39-LQ29)/15*13</f>
        <v>69763.887999999992</v>
      </c>
      <c r="LR37" s="330">
        <f>LR29+(LR39-LR29)/15*13</f>
        <v>68885.079333333328</v>
      </c>
      <c r="LS37" s="330" cm="1">
        <f t="array" ref="LS37">LS29-(SUM((recap_habitat[Unité]="TeqCO2")*(recap_habitat[2028*]))+SUM((recap_mobilite[Unité]="TeqCO2")*(recap_mobilite[2028*]))+SUM((recap_Economie[Unité]="TeqCO2")*(recap_Economie[2028*]))+SUM((recap_environnement[Unité]="TeqCO2")*(recap_environnement[2028*]))+SUM((recap_exemplarité[Unité]="TeqCO2")*(recap_exemplarité[2028*])))</f>
        <v>100313.26229508196</v>
      </c>
      <c r="LT37" s="330"/>
      <c r="LU37" s="330"/>
      <c r="LV37" s="331"/>
      <c r="LW37" s="2"/>
      <c r="LX37" s="2">
        <v>2028</v>
      </c>
      <c r="LY37" s="338">
        <f>LY29-'Axe 1 Logement et bâti'!X52</f>
        <v>18815</v>
      </c>
      <c r="LZ37" s="340">
        <f>$LZ$29-'Axe 4 Économie BC'!X50</f>
        <v>8900</v>
      </c>
      <c r="MA37" s="340">
        <f>$MA$29-'Axe 2 Déplacement'!X56</f>
        <v>53914</v>
      </c>
      <c r="MB37" s="340">
        <f>$MB$29-'Axe 4 Économie BC'!X49</f>
        <v>15120</v>
      </c>
      <c r="MC37" s="340">
        <f>$MC$29-'Axe 3 Milieu naturel et prod'!X45</f>
        <v>2875</v>
      </c>
      <c r="MD37" s="337">
        <f>MD29+(MD39-MD29)/15*13</f>
        <v>12740.533333333333</v>
      </c>
      <c r="ME37" s="338">
        <f>ME29+(ME39-ME29)/15*13</f>
        <v>6109.3333333333339</v>
      </c>
      <c r="MF37" s="338">
        <f>MF29+(MF39-MF29)/15*13</f>
        <v>31981.266666666666</v>
      </c>
      <c r="MG37" s="338">
        <f>MG29+(MG40-MG29)/35*13</f>
        <v>11884.114285714286</v>
      </c>
      <c r="MH37" s="339">
        <f>MH29+(MH39-MH29)/15*13</f>
        <v>2139.1999999999998</v>
      </c>
    </row>
    <row r="38" spans="2:346" ht="50.25" customHeight="1">
      <c r="B38" s="79" t="s">
        <v>44</v>
      </c>
      <c r="C38" s="86">
        <f>((C36-C37)/C36)+1</f>
        <v>0.54375921076219746</v>
      </c>
      <c r="D38" s="366"/>
      <c r="E38" s="76"/>
      <c r="F38" s="79" t="s">
        <v>34</v>
      </c>
      <c r="G38" s="82">
        <f t="array" ref="G38">SUM((suiviparsecteurGES[Résidentiel réel])*(suiviparsecteurGES[Année de suivi]=suiviannée[Colonne2]))</f>
        <v>18815</v>
      </c>
      <c r="H38" s="82">
        <f t="array" ref="H38">SUM((suiviparsecteurGES[Tertiaire réel])*(suiviparsecteurGES[Année de suivi]=suiviannée[Colonne2]))</f>
        <v>8900</v>
      </c>
      <c r="I38" s="82">
        <f t="array" ref="I38">SUM((suiviparsecteurGES[Transport réel réel])*(suiviparsecteurGES[Année de suivi]=suiviannée[Colonne2]))</f>
        <v>53914</v>
      </c>
      <c r="J38" s="82" cm="1">
        <f t="array" ref="J38">SUM((suiviparsecteurGES[Industrie réel])*(suiviparsecteurGES[Année de suivi]=suiviannée[Colonne2]))</f>
        <v>15120</v>
      </c>
      <c r="K38" s="82">
        <f t="array" ref="K38">SUM((suiviparsecteurGES[Agriculture réel])*(suiviparsecteurGES[Année de suivi]=suiviannée[Colonne2]))</f>
        <v>2875</v>
      </c>
      <c r="L38" s="78"/>
      <c r="M38" s="58"/>
      <c r="N38" s="59"/>
      <c r="O38" s="60"/>
      <c r="P38" s="60"/>
      <c r="Q38" s="60"/>
      <c r="R38" s="60"/>
      <c r="S38" s="60"/>
      <c r="T38" s="60"/>
      <c r="U38" s="54"/>
      <c r="LP38" s="2">
        <v>2029</v>
      </c>
      <c r="LQ38" s="330">
        <f>LQ29+(LQ39-LQ29)/15*14</f>
        <v>67330.263999999996</v>
      </c>
      <c r="LR38" s="330">
        <f>LR29+(LR39-LR29)/15*14</f>
        <v>66383.854666666666</v>
      </c>
      <c r="LS38" s="330" cm="1">
        <f t="array" ref="LS38">LS29-(SUM((recap_habitat[Unité]="TeqCO2")*(recap_habitat[2029*]))+SUM((recap_mobilite[Unité]="TeqCO2")*(recap_mobilite[2029*]))+SUM((recap_Economie[Unité]="TeqCO2")*(recap_Economie[2029*]))+SUM((recap_environnement[Unité]="TeqCO2")*(recap_environnement[2029*]))+SUM((recap_exemplarité[Unité]="TeqCO2")*(recap_exemplarité[2029*])))</f>
        <v>100204.48852459017</v>
      </c>
      <c r="LT38" s="330"/>
      <c r="LU38" s="330"/>
      <c r="LV38" s="331"/>
      <c r="LW38" s="2"/>
      <c r="LX38" s="2">
        <v>2029</v>
      </c>
      <c r="LY38" s="338">
        <f>LY29-'Axe 1 Logement et bâti'!Y52</f>
        <v>18815</v>
      </c>
      <c r="LZ38" s="340">
        <f>$LZ$29-'Axe 4 Économie BC'!Y50</f>
        <v>8900</v>
      </c>
      <c r="MA38" s="340">
        <f>$MA$29-'Axe 2 Déplacement'!Y56</f>
        <v>53914</v>
      </c>
      <c r="MB38" s="340">
        <f>$MB$29-'Axe 4 Économie BC'!Y49</f>
        <v>15120</v>
      </c>
      <c r="MC38" s="340">
        <f>$MC$29-'Axe 3 Milieu naturel et prod'!Y45</f>
        <v>2875</v>
      </c>
      <c r="MD38" s="337">
        <f>MD29+(MD39-MD29)/15*14</f>
        <v>12273.266666666666</v>
      </c>
      <c r="ME38" s="338">
        <f>ME29+(ME39-ME29)/15*14</f>
        <v>5894.666666666667</v>
      </c>
      <c r="MF38" s="338">
        <f>MF29+(MF39-MF29)/15*14</f>
        <v>30294.133333333331</v>
      </c>
      <c r="MG38" s="338">
        <f>MG29+(MG40-MG29)/35*14</f>
        <v>11635.2</v>
      </c>
      <c r="MH38" s="339">
        <f>MH29+(MH39-MH29)/15*14</f>
        <v>2082.6</v>
      </c>
    </row>
    <row r="39" spans="2:346" ht="50.25" customHeight="1">
      <c r="B39" s="74"/>
      <c r="C39" s="74"/>
      <c r="D39" s="78"/>
      <c r="E39" s="76"/>
      <c r="F39" s="79" t="s">
        <v>32</v>
      </c>
      <c r="G39" s="81">
        <f>(G38-LY29)/LY29</f>
        <v>0</v>
      </c>
      <c r="H39" s="81">
        <f>(H38-LZ29)/LZ29</f>
        <v>0</v>
      </c>
      <c r="I39" s="81">
        <f>(I38-MA29)/MA29</f>
        <v>0</v>
      </c>
      <c r="J39" s="81">
        <f>(J38-MB29)/MB29</f>
        <v>0</v>
      </c>
      <c r="K39" s="81">
        <f>(K38-MC29)/MC29</f>
        <v>0</v>
      </c>
      <c r="L39" s="78"/>
      <c r="M39" s="58"/>
      <c r="N39" s="59"/>
      <c r="O39" s="60"/>
      <c r="P39" s="60"/>
      <c r="Q39" s="60"/>
      <c r="R39" s="60"/>
      <c r="S39" s="60"/>
      <c r="T39" s="60"/>
      <c r="U39" s="54"/>
      <c r="LN39" s="31"/>
      <c r="LO39" s="31"/>
      <c r="LP39" s="2">
        <v>2030</v>
      </c>
      <c r="LQ39" s="330">
        <f>LQ29-LQ29*0.36</f>
        <v>64896.639999999999</v>
      </c>
      <c r="LR39" s="330">
        <f>LR29-LR29*0.37</f>
        <v>63882.63</v>
      </c>
      <c r="LS39" s="330" cm="1">
        <f t="array" ref="LS39">LS29-(SUM((recap_habitat[Unité]="TeqCO2")*(recap_habitat[2030*]))+SUM((recap_mobilite[Unité]="TeqCO2")*(recap_mobilite[2030*]))+SUM((recap_Economie[Unité]="TeqCO2")*(recap_Economie[2030*]))+SUM((recap_environnement[Unité]="TeqCO2")*(recap_environnement[2030*]))+SUM((recap_exemplarité[Unité]="TeqCO2")*(recap_exemplarité[2030*])))</f>
        <v>100073.96</v>
      </c>
      <c r="LT39" s="330"/>
      <c r="LU39" s="330"/>
      <c r="LV39" s="331"/>
      <c r="LW39" s="2"/>
      <c r="LX39" s="2">
        <v>2030</v>
      </c>
      <c r="LY39" s="340">
        <f>LY29-'Axe 1 Logement et bâti'!Z52</f>
        <v>18815</v>
      </c>
      <c r="LZ39" s="346">
        <f>$LZ$29-'Axe 4 Économie BC'!Z50</f>
        <v>8900</v>
      </c>
      <c r="MA39" s="340">
        <f>$MA$29-'Axe 2 Déplacement'!Z56</f>
        <v>53914</v>
      </c>
      <c r="MB39" s="340">
        <f>$MB$29-'Axe 4 Économie BC'!Z49</f>
        <v>15120</v>
      </c>
      <c r="MC39" s="340">
        <f>$MC$29-'Axe 3 Milieu naturel et prod'!Z45</f>
        <v>2875</v>
      </c>
      <c r="MD39" s="341">
        <v>11806</v>
      </c>
      <c r="ME39" s="336">
        <v>5680</v>
      </c>
      <c r="MF39" s="336">
        <v>28607</v>
      </c>
      <c r="MG39" s="372">
        <f>MG29+(MG40-MG29)/35*15</f>
        <v>11386.285714285714</v>
      </c>
      <c r="MH39" s="342">
        <v>2026</v>
      </c>
    </row>
    <row r="40" spans="2:346" ht="50.25" customHeight="1">
      <c r="B40" s="74"/>
      <c r="C40" s="74"/>
      <c r="D40" s="78"/>
      <c r="E40" s="76"/>
      <c r="F40" s="79" t="s">
        <v>44</v>
      </c>
      <c r="G40" s="86">
        <f>((G36-G38)/G36)+1</f>
        <v>0.52321723842016032</v>
      </c>
      <c r="H40" s="86">
        <f>((H36-H38)/H36)+1</f>
        <v>0.54321257092972508</v>
      </c>
      <c r="I40" s="86">
        <f>((I36-I38)/I36)+1</f>
        <v>0.31420060493747382</v>
      </c>
      <c r="J40" s="86">
        <f>((J36-J38)/J36)+1</f>
        <v>0.72771334602734983</v>
      </c>
      <c r="K40" s="86">
        <f>((K36-K38)/K36)+1</f>
        <v>0.65603964098728484</v>
      </c>
      <c r="L40" s="78"/>
      <c r="M40" s="62"/>
      <c r="N40" s="63"/>
      <c r="O40" s="64"/>
      <c r="P40" s="64"/>
      <c r="Q40" s="64"/>
      <c r="R40" s="64"/>
      <c r="S40" s="64"/>
      <c r="T40" s="64"/>
      <c r="U40" s="54"/>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c r="EO40" s="31"/>
      <c r="EP40" s="31"/>
      <c r="EQ40" s="31"/>
      <c r="ER40" s="31"/>
      <c r="ES40" s="31"/>
      <c r="ET40" s="31"/>
      <c r="EU40" s="31"/>
      <c r="EV40" s="31"/>
      <c r="EW40" s="31"/>
      <c r="EX40" s="31"/>
      <c r="EY40" s="31"/>
      <c r="EZ40" s="31"/>
      <c r="FA40" s="31"/>
      <c r="FB40" s="31"/>
      <c r="FC40" s="31"/>
      <c r="FD40" s="31"/>
      <c r="FE40" s="31"/>
      <c r="FF40" s="31"/>
      <c r="FG40" s="31"/>
      <c r="FH40" s="31"/>
      <c r="FI40" s="31"/>
      <c r="FJ40" s="31"/>
      <c r="FK40" s="31"/>
      <c r="FL40" s="31"/>
      <c r="FM40" s="31"/>
      <c r="FN40" s="31"/>
      <c r="FO40" s="31"/>
      <c r="FP40" s="31"/>
      <c r="FQ40" s="31"/>
      <c r="FR40" s="31"/>
      <c r="FS40" s="31"/>
      <c r="FT40" s="31"/>
      <c r="FU40" s="31"/>
      <c r="FV40" s="31"/>
      <c r="FW40" s="31"/>
      <c r="FX40" s="31"/>
      <c r="FY40" s="31"/>
      <c r="FZ40" s="31"/>
      <c r="GA40" s="31"/>
      <c r="GB40" s="31"/>
      <c r="GC40" s="31"/>
      <c r="GD40" s="31"/>
      <c r="GE40" s="31"/>
      <c r="GF40" s="31"/>
      <c r="GG40" s="31"/>
      <c r="GH40" s="31"/>
      <c r="GI40" s="31"/>
      <c r="GJ40" s="31"/>
      <c r="GK40" s="31"/>
      <c r="GL40" s="31"/>
      <c r="GM40" s="31"/>
      <c r="GN40" s="31"/>
      <c r="GO40" s="31"/>
      <c r="GP40" s="31"/>
      <c r="GQ40" s="31"/>
      <c r="GR40" s="31"/>
      <c r="GS40" s="31"/>
      <c r="GT40" s="31"/>
      <c r="GU40" s="31"/>
      <c r="GV40" s="31"/>
      <c r="GW40" s="31"/>
      <c r="GX40" s="31"/>
      <c r="GY40" s="31"/>
      <c r="GZ40" s="31"/>
      <c r="HA40" s="31"/>
      <c r="HB40" s="31"/>
      <c r="HC40" s="31"/>
      <c r="HD40" s="31"/>
      <c r="HE40" s="31"/>
      <c r="HF40" s="31"/>
      <c r="HG40" s="31"/>
      <c r="HH40" s="31"/>
      <c r="HI40" s="31"/>
      <c r="HJ40" s="31"/>
      <c r="HK40" s="31"/>
      <c r="HL40" s="31"/>
      <c r="HM40" s="31"/>
      <c r="HN40" s="31"/>
      <c r="HO40" s="31"/>
      <c r="HP40" s="31"/>
      <c r="HQ40" s="31"/>
      <c r="HR40" s="31"/>
      <c r="HS40" s="31"/>
      <c r="HT40" s="31"/>
      <c r="HU40" s="31"/>
      <c r="HV40" s="31"/>
      <c r="HW40" s="31"/>
      <c r="HX40" s="31"/>
      <c r="HY40" s="31"/>
      <c r="HZ40" s="31"/>
      <c r="IA40" s="31"/>
      <c r="IB40" s="31"/>
      <c r="IC40" s="31"/>
      <c r="ID40" s="31"/>
      <c r="IE40" s="31"/>
      <c r="IF40" s="31"/>
      <c r="IG40" s="31"/>
      <c r="IH40" s="31"/>
      <c r="II40" s="31"/>
      <c r="IJ40" s="31"/>
      <c r="IK40" s="31"/>
      <c r="IL40" s="31"/>
      <c r="IM40" s="31"/>
      <c r="IN40" s="31"/>
      <c r="IO40" s="31"/>
      <c r="IP40" s="31"/>
      <c r="IQ40" s="31"/>
      <c r="IR40" s="31"/>
      <c r="IS40" s="31"/>
      <c r="IT40" s="31"/>
      <c r="IU40" s="31"/>
      <c r="IV40" s="31"/>
      <c r="IW40" s="31"/>
      <c r="IX40" s="31"/>
      <c r="IY40" s="31"/>
      <c r="IZ40" s="31"/>
      <c r="JA40" s="31"/>
      <c r="JB40" s="31"/>
      <c r="JC40" s="31"/>
      <c r="JD40" s="31"/>
      <c r="JE40" s="31"/>
      <c r="JF40" s="31"/>
      <c r="JG40" s="31"/>
      <c r="JH40" s="31"/>
      <c r="JI40" s="31"/>
      <c r="JJ40" s="31"/>
      <c r="JK40" s="31"/>
      <c r="JL40" s="31"/>
      <c r="JM40" s="31"/>
      <c r="JN40" s="31"/>
      <c r="JO40" s="31"/>
      <c r="JP40" s="31"/>
      <c r="JQ40" s="31"/>
      <c r="JR40" s="31"/>
      <c r="JS40" s="31"/>
      <c r="JT40" s="31"/>
      <c r="JU40" s="31"/>
      <c r="JV40" s="31"/>
      <c r="JW40" s="31"/>
      <c r="JX40" s="31"/>
      <c r="JY40" s="31"/>
      <c r="JZ40" s="31"/>
      <c r="KA40" s="31"/>
      <c r="KB40" s="31"/>
      <c r="KC40" s="31"/>
      <c r="KD40" s="31"/>
      <c r="KE40" s="31"/>
      <c r="KF40" s="31"/>
      <c r="KG40" s="31"/>
      <c r="KH40" s="31"/>
      <c r="KI40" s="31"/>
      <c r="KJ40" s="31"/>
      <c r="KK40" s="31"/>
      <c r="KL40" s="31"/>
      <c r="KM40" s="31"/>
      <c r="KN40" s="31"/>
      <c r="KO40" s="31"/>
      <c r="KP40" s="31"/>
      <c r="KQ40" s="31"/>
      <c r="KR40" s="31"/>
      <c r="KS40" s="31"/>
      <c r="KT40" s="31"/>
      <c r="KU40" s="31"/>
      <c r="KV40" s="31"/>
      <c r="KW40" s="31"/>
      <c r="KX40" s="31"/>
      <c r="KY40" s="31"/>
      <c r="KZ40" s="31"/>
      <c r="LA40" s="31"/>
      <c r="LB40" s="31"/>
      <c r="LC40" s="31"/>
      <c r="LD40" s="31"/>
      <c r="LE40" s="31"/>
      <c r="LF40" s="31"/>
      <c r="LG40" s="31"/>
      <c r="LH40" s="31"/>
      <c r="LI40" s="31"/>
      <c r="LJ40" s="31"/>
      <c r="LK40" s="31"/>
      <c r="LL40" s="31"/>
      <c r="LP40" s="2"/>
      <c r="LQ40" s="330"/>
      <c r="LR40" s="330"/>
      <c r="LS40" s="330"/>
      <c r="LT40" s="330"/>
      <c r="LU40" s="330"/>
      <c r="LV40" s="330"/>
      <c r="LW40" s="2"/>
      <c r="LX40" s="2">
        <v>2050</v>
      </c>
      <c r="LY40" s="338"/>
      <c r="LZ40" s="338"/>
      <c r="MA40" s="338"/>
      <c r="MB40" s="338"/>
      <c r="MC40" s="340"/>
      <c r="MD40" s="343">
        <v>3939</v>
      </c>
      <c r="ME40" s="344">
        <v>2036</v>
      </c>
      <c r="MF40" s="344">
        <v>15166</v>
      </c>
      <c r="MG40" s="344">
        <v>6408</v>
      </c>
      <c r="MH40" s="345">
        <v>906</v>
      </c>
    </row>
    <row r="41" spans="2:346" ht="50.25" customHeight="1">
      <c r="B41" s="74"/>
      <c r="C41" s="74"/>
      <c r="D41" s="76"/>
      <c r="E41" s="76"/>
      <c r="F41" s="76"/>
      <c r="G41" s="76"/>
      <c r="H41" s="78"/>
      <c r="I41" s="78"/>
      <c r="J41" s="78"/>
      <c r="K41" s="78"/>
      <c r="L41" s="77"/>
      <c r="M41" s="58"/>
      <c r="N41" s="51"/>
      <c r="O41" s="60"/>
      <c r="P41" s="61"/>
      <c r="Q41" s="61"/>
      <c r="R41" s="61"/>
      <c r="S41" s="61"/>
      <c r="T41" s="61"/>
      <c r="U41" s="54"/>
      <c r="LP41" s="2">
        <v>2050</v>
      </c>
      <c r="LQ41" s="330">
        <f>LQ29-LQ29*0.68</f>
        <v>32448.319999999992</v>
      </c>
      <c r="LR41" s="330">
        <f>LR29-LR29*0.72</f>
        <v>28392.28</v>
      </c>
      <c r="LS41" s="330"/>
      <c r="LT41" s="330"/>
      <c r="LU41" s="330"/>
      <c r="LV41" s="330"/>
      <c r="LW41" s="2"/>
      <c r="LX41" s="2"/>
      <c r="LY41" s="2"/>
      <c r="LZ41" s="2"/>
      <c r="MA41" s="2"/>
      <c r="MB41" s="2"/>
      <c r="MC41" s="2"/>
      <c r="MD41" s="2"/>
      <c r="ME41" s="2"/>
      <c r="MF41" s="2"/>
      <c r="MG41" s="2"/>
      <c r="MH41" s="2"/>
    </row>
    <row r="42" spans="2:346" ht="50.25" customHeight="1">
      <c r="B42" s="75" t="s">
        <v>30</v>
      </c>
      <c r="C42" s="74"/>
      <c r="D42" s="76"/>
      <c r="E42" s="76"/>
      <c r="F42" s="76"/>
      <c r="G42" s="76"/>
      <c r="H42" s="78"/>
      <c r="I42" s="78"/>
      <c r="J42" s="78"/>
      <c r="K42" s="78"/>
      <c r="L42" s="77"/>
      <c r="M42" s="58"/>
      <c r="N42" s="51"/>
      <c r="O42" s="60"/>
      <c r="P42" s="61"/>
      <c r="Q42" s="61"/>
      <c r="R42" s="61"/>
      <c r="S42" s="61"/>
      <c r="T42" s="61"/>
      <c r="U42" s="54"/>
    </row>
    <row r="43" spans="2:346" ht="50.25" customHeight="1">
      <c r="B43" s="74"/>
      <c r="C43" s="74"/>
      <c r="D43" s="76"/>
      <c r="E43" s="76"/>
      <c r="F43" s="76"/>
      <c r="G43" s="76"/>
      <c r="H43" s="78"/>
      <c r="I43" s="78"/>
      <c r="J43" s="78"/>
      <c r="K43" s="78"/>
      <c r="L43" s="77"/>
      <c r="M43" s="58"/>
      <c r="N43" s="51"/>
      <c r="O43" s="60"/>
      <c r="P43" s="61"/>
      <c r="Q43" s="61"/>
      <c r="R43" s="61"/>
      <c r="S43" s="61"/>
      <c r="T43" s="61"/>
      <c r="U43" s="54"/>
      <c r="LP43" s="2"/>
      <c r="LQ43" s="298" t="s">
        <v>71</v>
      </c>
      <c r="LR43" s="2"/>
      <c r="LS43" s="2"/>
      <c r="LT43" s="2"/>
      <c r="LU43" s="2"/>
      <c r="LV43" s="2"/>
    </row>
    <row r="44" spans="2:346" ht="50.25" customHeight="1">
      <c r="B44" s="74"/>
      <c r="C44" s="74"/>
      <c r="D44" s="76"/>
      <c r="E44" s="76"/>
      <c r="F44" s="76"/>
      <c r="G44" s="76"/>
      <c r="H44" s="78"/>
      <c r="I44" s="78"/>
      <c r="J44" s="78"/>
      <c r="K44" s="78"/>
      <c r="L44" s="77"/>
      <c r="M44" s="58"/>
      <c r="N44" s="51"/>
      <c r="O44" s="60"/>
      <c r="P44" s="61"/>
      <c r="Q44" s="61"/>
      <c r="R44" s="61"/>
      <c r="S44" s="61"/>
      <c r="T44" s="61"/>
      <c r="U44" s="54"/>
      <c r="LP44" s="33" t="s">
        <v>41</v>
      </c>
      <c r="LQ44" s="2" t="s">
        <v>567</v>
      </c>
      <c r="LR44" s="33" t="s">
        <v>67</v>
      </c>
      <c r="LS44" s="2" t="s">
        <v>566</v>
      </c>
      <c r="LT44" s="33" t="s">
        <v>68</v>
      </c>
      <c r="LU44" s="2" t="s">
        <v>565</v>
      </c>
      <c r="LV44" s="33" t="s">
        <v>69</v>
      </c>
      <c r="LW44" s="2" t="s">
        <v>564</v>
      </c>
      <c r="LX44" s="2" t="s">
        <v>568</v>
      </c>
      <c r="LY44" s="2" t="s">
        <v>570</v>
      </c>
      <c r="LZ44" s="2" t="s">
        <v>563</v>
      </c>
      <c r="MA44" s="2" t="s">
        <v>571</v>
      </c>
      <c r="MB44" s="2" t="s">
        <v>70</v>
      </c>
    </row>
    <row r="45" spans="2:346" ht="50.25" customHeight="1">
      <c r="B45" s="74"/>
      <c r="C45" s="74"/>
      <c r="D45" s="76"/>
      <c r="E45" s="76"/>
      <c r="F45" s="76"/>
      <c r="G45" s="76"/>
      <c r="H45" s="78"/>
      <c r="I45" s="78"/>
      <c r="J45" s="78"/>
      <c r="K45" s="78"/>
      <c r="L45" s="77"/>
      <c r="M45" s="58"/>
      <c r="N45" s="51"/>
      <c r="O45" s="60"/>
      <c r="P45" s="61"/>
      <c r="Q45" s="61"/>
      <c r="R45" s="61"/>
      <c r="S45" s="61"/>
      <c r="T45" s="61"/>
      <c r="U45" s="54"/>
      <c r="LP45" s="2">
        <v>2015</v>
      </c>
      <c r="LQ45" s="329">
        <v>280054</v>
      </c>
      <c r="LR45" s="329">
        <v>280054</v>
      </c>
      <c r="LS45" s="329">
        <v>77135</v>
      </c>
      <c r="LT45" s="329">
        <v>77135</v>
      </c>
      <c r="LU45" s="329">
        <v>58971</v>
      </c>
      <c r="LV45" s="329">
        <v>58971</v>
      </c>
      <c r="LW45" s="329">
        <v>645575</v>
      </c>
      <c r="LX45" s="329">
        <v>645575</v>
      </c>
      <c r="LY45" s="329">
        <v>2513</v>
      </c>
      <c r="LZ45" s="329">
        <v>2513</v>
      </c>
      <c r="MA45" s="329">
        <v>23898</v>
      </c>
      <c r="MB45" s="329">
        <v>23898</v>
      </c>
    </row>
    <row r="46" spans="2:346" ht="50.25" customHeight="1">
      <c r="B46" s="74"/>
      <c r="C46" s="74"/>
      <c r="D46" s="76"/>
      <c r="E46" s="76"/>
      <c r="F46" s="76"/>
      <c r="G46" s="76"/>
      <c r="H46" s="78"/>
      <c r="I46" s="78"/>
      <c r="J46" s="78"/>
      <c r="K46" s="78"/>
      <c r="L46" s="77"/>
      <c r="M46" s="58"/>
      <c r="N46" s="51"/>
      <c r="O46" s="60"/>
      <c r="P46" s="61"/>
      <c r="Q46" s="61"/>
      <c r="R46" s="61"/>
      <c r="S46" s="61"/>
      <c r="T46" s="61"/>
      <c r="U46" s="54"/>
      <c r="LP46" s="2">
        <v>2022</v>
      </c>
      <c r="LQ46" s="330">
        <f>LQ45+(LQ48-LQ45)/9*7</f>
        <v>171144.11111111112</v>
      </c>
      <c r="LR46" s="331">
        <f>'Axe Suivi qualité de l''air'!E22</f>
        <v>0</v>
      </c>
      <c r="LS46" s="330">
        <f>LS45+(LS48-LS45)/9*7</f>
        <v>60936.649999999994</v>
      </c>
      <c r="LT46" s="331">
        <f>'Axe Suivi qualité de l''air'!E23</f>
        <v>0</v>
      </c>
      <c r="LU46" s="330">
        <f>LU45+(LU48-LU45)/9*7</f>
        <v>46587.09</v>
      </c>
      <c r="LV46" s="330">
        <f>'Axe Suivi qualité de l''air'!E24</f>
        <v>0</v>
      </c>
      <c r="LW46" s="330">
        <f>LW45+(LW54-LW45)/15*7</f>
        <v>519042.30000000005</v>
      </c>
      <c r="LX46" s="332">
        <f>'Axe Suivi qualité de l''air'!E25</f>
        <v>0</v>
      </c>
      <c r="LY46" s="332">
        <f>LY45+(LY48-LY45)/9*7</f>
        <v>1437.9944444444445</v>
      </c>
      <c r="LZ46" s="332">
        <f>'Axe Suivi qualité de l''air'!E26</f>
        <v>0</v>
      </c>
      <c r="MA46" s="332">
        <f>MA45+(MA48-MA45)/9*7</f>
        <v>23154.506666666664</v>
      </c>
      <c r="MB46" s="330">
        <f>'Axe Suivi qualité de l''air'!E27</f>
        <v>0</v>
      </c>
    </row>
    <row r="47" spans="2:346" ht="50.25" customHeight="1">
      <c r="B47" s="74"/>
      <c r="C47" s="74"/>
      <c r="D47" s="76"/>
      <c r="E47" s="76"/>
      <c r="F47" s="76"/>
      <c r="G47" s="76"/>
      <c r="H47" s="78"/>
      <c r="I47" s="78"/>
      <c r="J47" s="78"/>
      <c r="K47" s="78"/>
      <c r="L47" s="77"/>
      <c r="M47" s="58"/>
      <c r="N47" s="51"/>
      <c r="O47" s="60"/>
      <c r="P47" s="61"/>
      <c r="Q47" s="61"/>
      <c r="R47" s="61"/>
      <c r="S47" s="61"/>
      <c r="T47" s="61"/>
      <c r="U47" s="54"/>
      <c r="LP47" s="2">
        <v>2023</v>
      </c>
      <c r="LQ47" s="330">
        <f>LQ45+(LQ48-LQ45)/9*8</f>
        <v>155585.55555555556</v>
      </c>
      <c r="LR47" s="331">
        <f>'Axe Suivi qualité de l''air'!F22</f>
        <v>0</v>
      </c>
      <c r="LS47" s="330">
        <f>LS45+(LS48-LS45)/9*8</f>
        <v>58622.599999999991</v>
      </c>
      <c r="LT47" s="331">
        <f>'Axe Suivi qualité de l''air'!F23</f>
        <v>0</v>
      </c>
      <c r="LU47" s="330">
        <f>LU45+(LU48-LU45)/9*8</f>
        <v>44817.96</v>
      </c>
      <c r="LV47" s="331">
        <f>'Axe Suivi qualité de l''air'!F24</f>
        <v>0</v>
      </c>
      <c r="LW47" s="332">
        <f>LW45+(LW54-LW45)/15*8</f>
        <v>500966.2</v>
      </c>
      <c r="LX47" s="332">
        <f>'Axe Suivi qualité de l''air'!F25</f>
        <v>0</v>
      </c>
      <c r="LY47" s="332">
        <f>LY45+(LY48-LY45)/9*8</f>
        <v>1284.4222222222224</v>
      </c>
      <c r="LZ47" s="332">
        <f>'Axe Suivi qualité de l''air'!F26</f>
        <v>0</v>
      </c>
      <c r="MA47" s="332">
        <f>MA45+(MA48-MA45)/9*8</f>
        <v>23048.293333333331</v>
      </c>
      <c r="MB47" s="330">
        <f>'Axe Suivi qualité de l''air'!F27</f>
        <v>0</v>
      </c>
    </row>
    <row r="48" spans="2:346" ht="50.25" customHeight="1">
      <c r="B48" s="74"/>
      <c r="C48" s="74"/>
      <c r="D48" s="76"/>
      <c r="E48" s="76"/>
      <c r="F48" s="76"/>
      <c r="G48" s="76"/>
      <c r="H48" s="78"/>
      <c r="I48" s="78"/>
      <c r="J48" s="78"/>
      <c r="K48" s="78"/>
      <c r="L48" s="77"/>
      <c r="M48" s="58"/>
      <c r="N48" s="51"/>
      <c r="O48" s="60"/>
      <c r="P48" s="61"/>
      <c r="Q48" s="61"/>
      <c r="R48" s="61"/>
      <c r="S48" s="61"/>
      <c r="T48" s="61"/>
      <c r="U48" s="54"/>
      <c r="LP48" s="2">
        <v>2024</v>
      </c>
      <c r="LQ48" s="330">
        <f>0.5*LQ45</f>
        <v>140027</v>
      </c>
      <c r="LR48" s="331">
        <f>'Axe Suivi qualité de l''air'!G22</f>
        <v>0</v>
      </c>
      <c r="LS48" s="330">
        <f>0.73*LS45</f>
        <v>56308.549999999996</v>
      </c>
      <c r="LT48" s="331">
        <f>'Axe Suivi qualité de l''air'!G23</f>
        <v>0</v>
      </c>
      <c r="LU48" s="330">
        <f>0.73*LU45</f>
        <v>43048.83</v>
      </c>
      <c r="LV48" s="331">
        <f>'Axe Suivi qualité de l''air'!G24</f>
        <v>0</v>
      </c>
      <c r="LW48" s="332">
        <f>LW45+(LW54-LW45)/15*9</f>
        <v>482890.1</v>
      </c>
      <c r="LX48" s="332">
        <f>'Axe Suivi qualité de l''air'!G25</f>
        <v>0</v>
      </c>
      <c r="LY48" s="332">
        <f>0.45*LY45</f>
        <v>1130.8500000000001</v>
      </c>
      <c r="LZ48" s="332">
        <f>'Axe Suivi qualité de l''air'!G26</f>
        <v>0</v>
      </c>
      <c r="MA48" s="332">
        <f>0.96*MA45</f>
        <v>22942.079999999998</v>
      </c>
      <c r="MB48" s="330">
        <f>'Axe Suivi qualité de l''air'!G27</f>
        <v>0</v>
      </c>
    </row>
    <row r="49" spans="2:340" ht="50.25" customHeight="1">
      <c r="B49" s="74"/>
      <c r="C49" s="74"/>
      <c r="D49" s="76"/>
      <c r="E49" s="76"/>
      <c r="F49" s="76"/>
      <c r="G49" s="76"/>
      <c r="H49" s="78"/>
      <c r="I49" s="78"/>
      <c r="J49" s="78"/>
      <c r="K49" s="78"/>
      <c r="L49" s="77"/>
      <c r="M49" s="58"/>
      <c r="N49" s="51"/>
      <c r="O49" s="60"/>
      <c r="P49" s="61"/>
      <c r="Q49" s="61"/>
      <c r="R49" s="61"/>
      <c r="S49" s="61"/>
      <c r="T49" s="61"/>
      <c r="U49" s="54"/>
      <c r="LP49" s="2">
        <v>2025</v>
      </c>
      <c r="LQ49" s="330">
        <f>LQ48+(LQ54-LQ48)/6*1</f>
        <v>135359.43333333335</v>
      </c>
      <c r="LR49" s="331">
        <f>'Axe Suivi qualité de l''air'!H22</f>
        <v>0</v>
      </c>
      <c r="LS49" s="330">
        <f t="shared" ref="LS49:LU49" si="1">LS48+(LS54-LS48)/6*1</f>
        <v>54380.174999999996</v>
      </c>
      <c r="LT49" s="331">
        <f>'Axe Suivi qualité de l''air'!H23</f>
        <v>0</v>
      </c>
      <c r="LU49" s="330">
        <f t="shared" si="1"/>
        <v>41574.555</v>
      </c>
      <c r="LV49" s="331">
        <f>'Axe Suivi qualité de l''air'!H24</f>
        <v>0</v>
      </c>
      <c r="LW49" s="332">
        <f>LW45+(LW54-LW45)/15*10</f>
        <v>464814</v>
      </c>
      <c r="LX49" s="332">
        <f>'Axe Suivi qualité de l''air'!H25</f>
        <v>0</v>
      </c>
      <c r="LY49" s="332">
        <f>LY48+(LY54-LY48)/6*1</f>
        <v>1084.7783333333334</v>
      </c>
      <c r="LZ49" s="332">
        <f>'Axe Suivi qualité de l''air'!H26</f>
        <v>0</v>
      </c>
      <c r="MA49" s="332">
        <f>MA48+(MA54-MA48)/6*1</f>
        <v>22782.76</v>
      </c>
      <c r="MB49" s="330">
        <f>'Axe Suivi qualité de l''air'!H27</f>
        <v>0</v>
      </c>
    </row>
    <row r="50" spans="2:340" ht="50.25" customHeight="1">
      <c r="B50" s="74"/>
      <c r="C50" s="74"/>
      <c r="D50" s="76"/>
      <c r="E50" s="76"/>
      <c r="F50" s="76"/>
      <c r="G50" s="76"/>
      <c r="H50" s="78"/>
      <c r="I50" s="78"/>
      <c r="J50" s="78"/>
      <c r="K50" s="78"/>
      <c r="L50" s="77"/>
      <c r="M50" s="58"/>
      <c r="N50" s="51"/>
      <c r="O50" s="60"/>
      <c r="P50" s="61"/>
      <c r="Q50" s="61"/>
      <c r="R50" s="61"/>
      <c r="S50" s="61"/>
      <c r="T50" s="61"/>
      <c r="U50" s="54"/>
      <c r="LP50" s="2">
        <v>2026</v>
      </c>
      <c r="LQ50" s="330">
        <f>LQ48+(LQ54-LQ48)/6*2</f>
        <v>130691.86666666667</v>
      </c>
      <c r="LR50" s="331">
        <f>'Axe Suivi qualité de l''air'!I22</f>
        <v>0</v>
      </c>
      <c r="LS50" s="330">
        <f t="shared" ref="LS50:LU50" si="2">LS48+(LS54-LS48)/6*2</f>
        <v>52451.799999999996</v>
      </c>
      <c r="LT50" s="331">
        <f>'Axe Suivi qualité de l''air'!I23</f>
        <v>0</v>
      </c>
      <c r="LU50" s="330">
        <f t="shared" si="2"/>
        <v>40100.28</v>
      </c>
      <c r="LV50" s="331">
        <f>'Axe Suivi qualité de l''air'!I24</f>
        <v>0</v>
      </c>
      <c r="LW50" s="332">
        <f>LW45+(LW54-LW45)/15*11</f>
        <v>446737.9</v>
      </c>
      <c r="LX50" s="332">
        <f>'Axe Suivi qualité de l''air'!I25</f>
        <v>0</v>
      </c>
      <c r="LY50" s="332">
        <f>LY48+(LY54-LY48)/6*2</f>
        <v>1038.7066666666667</v>
      </c>
      <c r="LZ50" s="332">
        <f>'Axe Suivi qualité de l''air'!I26</f>
        <v>0</v>
      </c>
      <c r="MA50" s="332">
        <f>MA48+(MA54-MA48)/6*2</f>
        <v>22623.439999999999</v>
      </c>
      <c r="MB50" s="330">
        <f>'Axe Suivi qualité de l''air'!I27</f>
        <v>0</v>
      </c>
    </row>
    <row r="51" spans="2:340" ht="50.25" customHeight="1">
      <c r="B51" s="74"/>
      <c r="C51" s="74"/>
      <c r="D51" s="76"/>
      <c r="F51" s="79" t="s">
        <v>569</v>
      </c>
      <c r="G51" s="79" t="s">
        <v>72</v>
      </c>
      <c r="H51" s="91" t="s">
        <v>73</v>
      </c>
      <c r="I51" s="91" t="s">
        <v>74</v>
      </c>
      <c r="J51" s="91" t="s">
        <v>75</v>
      </c>
      <c r="K51" s="79" t="s">
        <v>76</v>
      </c>
      <c r="L51" s="79" t="s">
        <v>77</v>
      </c>
      <c r="M51" s="58"/>
      <c r="N51" s="51"/>
      <c r="O51" s="60"/>
      <c r="P51" s="61"/>
      <c r="Q51" s="61"/>
      <c r="R51" s="61"/>
      <c r="S51" s="61"/>
      <c r="T51" s="61"/>
      <c r="U51" s="54"/>
      <c r="LP51" s="2">
        <v>2027</v>
      </c>
      <c r="LQ51" s="330">
        <f>LQ48+(LQ54-LQ48)/6*3</f>
        <v>126024.3</v>
      </c>
      <c r="LR51" s="331">
        <f>'Axe Suivi qualité de l''air'!J22</f>
        <v>0</v>
      </c>
      <c r="LS51" s="330">
        <f t="shared" ref="LS51:LU51" si="3">LS48+(LS54-LS48)/6*3</f>
        <v>50523.424999999996</v>
      </c>
      <c r="LT51" s="331">
        <f>'Axe Suivi qualité de l''air'!J23</f>
        <v>0</v>
      </c>
      <c r="LU51" s="330">
        <f t="shared" si="3"/>
        <v>38626.005000000005</v>
      </c>
      <c r="LV51" s="331">
        <f>'Axe Suivi qualité de l''air'!J24</f>
        <v>0</v>
      </c>
      <c r="LW51" s="332">
        <f>LW45+(LW54-LW45)/15*12</f>
        <v>428661.80000000005</v>
      </c>
      <c r="LX51" s="332">
        <f>'Axe Suivi qualité de l''air'!J25</f>
        <v>0</v>
      </c>
      <c r="LY51" s="332">
        <f>LY48+(LY54-LY48)/6*3</f>
        <v>992.6350000000001</v>
      </c>
      <c r="LZ51" s="332">
        <f>'Axe Suivi qualité de l''air'!J26</f>
        <v>0</v>
      </c>
      <c r="MA51" s="332">
        <f>MA48+(MA54-MA48)/6*3</f>
        <v>22464.12</v>
      </c>
      <c r="MB51" s="330">
        <f>'Axe Suivi qualité de l''air'!J27</f>
        <v>0</v>
      </c>
    </row>
    <row r="52" spans="2:340" ht="50.25" customHeight="1">
      <c r="B52" s="74"/>
      <c r="C52" s="74"/>
      <c r="D52" s="76"/>
      <c r="F52" s="79" t="s">
        <v>56</v>
      </c>
      <c r="G52" s="82">
        <f t="array" ref="G52">SUM((polluants_atmo[PM 10 : objectif  réglementaire])*(polluants_atmo[Année de suivi]=suiviannée[Colonne2]))</f>
        <v>48595.049999999996</v>
      </c>
      <c r="H52" s="82">
        <f t="array" ref="H52">SUM((polluants_atmo[PM 2,5 : objectif  réglementaire])*(polluants_atmo[Année de suivi]=suiviannée[Colonne2]))</f>
        <v>37151.730000000003</v>
      </c>
      <c r="I52" s="82">
        <f t="array" ref="I52">SUM((polluants_atmo[NOX : objectif  réglementaire])*(polluants_atmo[Année de suivi]=suiviannée[Colonne2]))</f>
        <v>121356.73333333334</v>
      </c>
      <c r="J52" s="82" cm="1">
        <f t="array" ref="J52">SUM((polluants_atmo[SO2 : objectif  réglementaire])*(polluants_atmo[Année de suivi]=suiviannée[Colonne2]))</f>
        <v>946.56333333333339</v>
      </c>
      <c r="K52" s="82" cm="1">
        <f t="array" ref="K52">SUM((polluants_atmo[COV : objectif réglementaire])*(polluants_atmo[Année de suivi]=suiviannée[Colonne2]))</f>
        <v>410585.7</v>
      </c>
      <c r="L52" s="82" cm="1">
        <f t="array" ref="L52">SUM((polluants_atmo[NH3 : objectif  réglementaire])*(polluants_atmo[Année de suivi]=suiviannée[Colonne2]))</f>
        <v>22304.799999999999</v>
      </c>
      <c r="M52" s="58"/>
      <c r="N52" s="51"/>
      <c r="O52" s="60"/>
      <c r="P52" s="61"/>
      <c r="Q52" s="61"/>
      <c r="R52" s="61"/>
      <c r="S52" s="61"/>
      <c r="T52" s="61"/>
      <c r="U52" s="54"/>
      <c r="LP52" s="2">
        <v>2028</v>
      </c>
      <c r="LQ52" s="330">
        <f>LQ48+(LQ54-LQ48)/6*4</f>
        <v>121356.73333333334</v>
      </c>
      <c r="LR52" s="331">
        <f>'Axe Suivi qualité de l''air'!K22</f>
        <v>0</v>
      </c>
      <c r="LS52" s="330">
        <f t="shared" ref="LS52:LU52" si="4">LS48+(LS54-LS48)/6*4</f>
        <v>48595.049999999996</v>
      </c>
      <c r="LT52" s="331">
        <f>'Axe Suivi qualité de l''air'!K23</f>
        <v>0</v>
      </c>
      <c r="LU52" s="330">
        <f t="shared" si="4"/>
        <v>37151.730000000003</v>
      </c>
      <c r="LV52" s="331">
        <f>'Axe Suivi qualité de l''air'!K24</f>
        <v>0</v>
      </c>
      <c r="LW52" s="332">
        <f>LW45+(LW54-LW45)/15*13</f>
        <v>410585.7</v>
      </c>
      <c r="LX52" s="332">
        <f>'Axe Suivi qualité de l''air'!K25</f>
        <v>0</v>
      </c>
      <c r="LY52" s="332">
        <f>LY48+(LY54-LY48)/6*4</f>
        <v>946.56333333333339</v>
      </c>
      <c r="LZ52" s="332">
        <f>'Axe Suivi qualité de l''air'!K26</f>
        <v>0</v>
      </c>
      <c r="MA52" s="332">
        <f>MA48+(MA54-MA48)/6*4</f>
        <v>22304.799999999999</v>
      </c>
      <c r="MB52" s="330">
        <f>'Axe Suivi qualité de l''air'!K27</f>
        <v>0</v>
      </c>
    </row>
    <row r="53" spans="2:340" ht="50.25" customHeight="1">
      <c r="B53" s="74"/>
      <c r="C53" s="74"/>
      <c r="D53" s="76"/>
      <c r="F53" s="79" t="s">
        <v>55</v>
      </c>
      <c r="G53" s="87">
        <f>(G52-LS45)/LS45</f>
        <v>-0.37000000000000005</v>
      </c>
      <c r="H53" s="87">
        <f>(H52-LU45)/LU45</f>
        <v>-0.36999999999999994</v>
      </c>
      <c r="I53" s="87">
        <f>(I52-LQ45)/LQ45</f>
        <v>-0.56666666666666665</v>
      </c>
      <c r="J53" s="87">
        <f>(J52-LY45)/LY45</f>
        <v>-0.62333333333333329</v>
      </c>
      <c r="K53" s="87">
        <f>(K52-LW45)/LW45</f>
        <v>-0.36399999999999999</v>
      </c>
      <c r="L53" s="87">
        <f>(L52-MA45)/MA45</f>
        <v>-6.6666666666666693E-2</v>
      </c>
      <c r="M53" s="58"/>
      <c r="N53" s="51"/>
      <c r="O53" s="60"/>
      <c r="P53" s="61"/>
      <c r="Q53" s="61"/>
      <c r="R53" s="61"/>
      <c r="S53" s="61"/>
      <c r="T53" s="61"/>
      <c r="U53" s="54"/>
      <c r="LP53" s="2">
        <v>2029</v>
      </c>
      <c r="LQ53" s="330">
        <f>LQ48+(LQ54-LQ48)/6*5</f>
        <v>116689.16666666667</v>
      </c>
      <c r="LR53" s="331">
        <f>'Axe Suivi qualité de l''air'!L22</f>
        <v>0</v>
      </c>
      <c r="LS53" s="330">
        <f t="shared" ref="LS53:LU53" si="5">LS48+(LS54-LS48)/6*5</f>
        <v>46666.674999999996</v>
      </c>
      <c r="LT53" s="331">
        <f>'Axe Suivi qualité de l''air'!L23</f>
        <v>0</v>
      </c>
      <c r="LU53" s="330">
        <f t="shared" si="5"/>
        <v>35677.455000000002</v>
      </c>
      <c r="LV53" s="331">
        <f>'Axe Suivi qualité de l''air'!L24</f>
        <v>0</v>
      </c>
      <c r="LW53" s="332">
        <f>LW45+(LW54-LW45)/15*14</f>
        <v>392509.60000000003</v>
      </c>
      <c r="LX53" s="332">
        <f>'Axe Suivi qualité de l''air'!L25</f>
        <v>0</v>
      </c>
      <c r="LY53" s="332">
        <f>LY48+(LY54-LY48)/6*5</f>
        <v>900.49166666666679</v>
      </c>
      <c r="LZ53" s="332">
        <f>'Axe Suivi qualité de l''air'!L26</f>
        <v>0</v>
      </c>
      <c r="MA53" s="332">
        <f>MA48+(MA54-MA48)/6*5</f>
        <v>22145.48</v>
      </c>
      <c r="MB53" s="330">
        <f>'Axe Suivi qualité de l''air'!L27</f>
        <v>0</v>
      </c>
    </row>
    <row r="54" spans="2:340" ht="50.25" customHeight="1">
      <c r="B54" s="74"/>
      <c r="C54" s="74"/>
      <c r="D54" s="76"/>
      <c r="F54" s="79" t="s">
        <v>34</v>
      </c>
      <c r="G54" s="82">
        <f t="array" ref="G54">SUM((polluants_atmo[PM 10 : mesures réelles])*(polluants_atmo[Année de suivi]=suiviannée[Colonne2]))</f>
        <v>0</v>
      </c>
      <c r="H54" s="82">
        <f t="array" ref="H54">SUM((polluants_atmo[PM 2,5 : mesures réelles])*(polluants_atmo[Année de suivi]=suiviannée[Colonne2]))</f>
        <v>0</v>
      </c>
      <c r="I54" s="82">
        <f t="array" ref="I54">SUM((polluants_atmo[NOX : mesures réelles ])*(polluants_atmo[Année de suivi]=suiviannée[Colonne2]))</f>
        <v>0</v>
      </c>
      <c r="J54" s="82" cm="1">
        <f t="array" ref="J54">SUM((polluants_atmo[SO2 : mesures réelles])*(polluants_atmo[Année de suivi]=suiviannée[Colonne2]))</f>
        <v>0</v>
      </c>
      <c r="K54" s="82" cm="1">
        <f t="array" ref="K54">SUM((polluants_atmo[COV : mesures réelles])*(polluants_atmo[Année de suivi]=suiviannée[Colonne2]))</f>
        <v>0</v>
      </c>
      <c r="L54" s="82" cm="1">
        <f t="array" ref="L54">SUM((polluants_atmo[NH3 : mesures réelles])*(polluants_atmo[Année de suivi]=suiviannée[Colonne2]))</f>
        <v>0</v>
      </c>
      <c r="M54" s="58"/>
      <c r="N54" s="59"/>
      <c r="O54" s="60"/>
      <c r="P54" s="60"/>
      <c r="Q54" s="60"/>
      <c r="R54" s="60"/>
      <c r="S54" s="60"/>
      <c r="T54" s="60"/>
      <c r="U54" s="54"/>
      <c r="LP54" s="2">
        <v>2030</v>
      </c>
      <c r="LQ54" s="330">
        <f>0.4*LQ45</f>
        <v>112021.6</v>
      </c>
      <c r="LR54" s="331">
        <f>'Axe Suivi qualité de l''air'!M22</f>
        <v>0</v>
      </c>
      <c r="LS54" s="330">
        <f>0.58*LS45</f>
        <v>44738.299999999996</v>
      </c>
      <c r="LT54" s="331">
        <f>'Axe Suivi qualité de l''air'!M23</f>
        <v>0</v>
      </c>
      <c r="LU54" s="330">
        <f>0.58*LU45</f>
        <v>34203.18</v>
      </c>
      <c r="LV54" s="331">
        <f>'Axe Suivi qualité de l''air'!M24</f>
        <v>0</v>
      </c>
      <c r="LW54" s="332">
        <f>0.58*LW45</f>
        <v>374433.5</v>
      </c>
      <c r="LX54" s="332">
        <f>'Axe Suivi qualité de l''air'!M25</f>
        <v>0</v>
      </c>
      <c r="LY54" s="332">
        <f>0.34*LY45</f>
        <v>854.42000000000007</v>
      </c>
      <c r="LZ54" s="332">
        <f>'Axe Suivi qualité de l''air'!M26</f>
        <v>0</v>
      </c>
      <c r="MA54" s="332">
        <f>0.92*MA45</f>
        <v>21986.16</v>
      </c>
      <c r="MB54" s="330">
        <f>'Axe Suivi qualité de l''air'!M27</f>
        <v>0</v>
      </c>
    </row>
    <row r="55" spans="2:340" ht="50.25" customHeight="1">
      <c r="B55" s="74"/>
      <c r="C55" s="74"/>
      <c r="D55" s="76"/>
      <c r="F55" s="79" t="s">
        <v>32</v>
      </c>
      <c r="G55" s="87">
        <f>(G54-LS45)/LS45</f>
        <v>-1</v>
      </c>
      <c r="H55" s="87">
        <f>(H54-LU45)/LU45</f>
        <v>-1</v>
      </c>
      <c r="I55" s="87">
        <f>(I54-LQ45)/LQ45</f>
        <v>-1</v>
      </c>
      <c r="J55" s="87">
        <f>(J54-LY45)/LY45</f>
        <v>-1</v>
      </c>
      <c r="K55" s="87">
        <f>(K54-LW45)/LW45</f>
        <v>-1</v>
      </c>
      <c r="L55" s="87">
        <f>(L54-MA45)/MA45</f>
        <v>-1</v>
      </c>
      <c r="M55" s="58"/>
      <c r="N55" s="59"/>
      <c r="O55" s="60"/>
      <c r="P55" s="60"/>
      <c r="Q55" s="60"/>
      <c r="R55" s="60"/>
      <c r="S55" s="60"/>
      <c r="T55" s="60"/>
      <c r="U55" s="54"/>
      <c r="LP55" s="2"/>
      <c r="LQ55" s="332"/>
      <c r="LR55" s="332"/>
      <c r="LS55" s="332"/>
      <c r="LT55" s="332"/>
      <c r="LU55" s="332"/>
      <c r="LV55" s="332"/>
      <c r="LW55" s="332"/>
      <c r="LX55" s="332"/>
      <c r="LY55" s="332"/>
      <c r="LZ55" s="332"/>
      <c r="MA55" s="332"/>
      <c r="MB55" s="332"/>
    </row>
    <row r="56" spans="2:340" ht="50.25" customHeight="1">
      <c r="B56" s="74"/>
      <c r="C56" s="74"/>
      <c r="D56" s="76"/>
      <c r="F56" s="79" t="s">
        <v>44</v>
      </c>
      <c r="G56" s="333">
        <f t="shared" ref="G56:L56" si="6">((G52-G54)/G52)+1</f>
        <v>2</v>
      </c>
      <c r="H56" s="333">
        <f t="shared" si="6"/>
        <v>2</v>
      </c>
      <c r="I56" s="333">
        <f t="shared" si="6"/>
        <v>2</v>
      </c>
      <c r="J56" s="333">
        <f t="shared" si="6"/>
        <v>2</v>
      </c>
      <c r="K56" s="333">
        <f t="shared" si="6"/>
        <v>2</v>
      </c>
      <c r="L56" s="333">
        <f t="shared" si="6"/>
        <v>2</v>
      </c>
      <c r="M56" s="58"/>
      <c r="N56" s="59"/>
      <c r="O56" s="60"/>
      <c r="P56" s="61"/>
      <c r="Q56" s="61"/>
      <c r="R56" s="61"/>
      <c r="S56" s="61"/>
      <c r="T56" s="61"/>
      <c r="U56" s="54"/>
      <c r="LP56" s="2">
        <v>2050</v>
      </c>
      <c r="LQ56" s="332">
        <f>0.31*LQ45</f>
        <v>86816.74</v>
      </c>
      <c r="LR56" s="332"/>
      <c r="LS56" s="332">
        <f>0.43*LS45</f>
        <v>33168.050000000003</v>
      </c>
      <c r="LT56" s="332"/>
      <c r="LU56" s="332">
        <f>0.43*LU45</f>
        <v>25357.53</v>
      </c>
      <c r="LV56" s="332"/>
      <c r="LW56" s="332">
        <f>LW45*0.48</f>
        <v>309876</v>
      </c>
      <c r="LX56" s="332"/>
      <c r="LY56" s="332">
        <f>0.23*LY45</f>
        <v>577.99</v>
      </c>
      <c r="LZ56" s="332"/>
      <c r="MA56" s="332">
        <f>0.87*MA45</f>
        <v>20791.259999999998</v>
      </c>
      <c r="MB56" s="332"/>
    </row>
    <row r="57" spans="2:340" ht="50.25" customHeight="1">
      <c r="B57" s="74"/>
      <c r="C57" s="74"/>
      <c r="D57" s="76"/>
      <c r="E57" s="76"/>
      <c r="F57" s="76"/>
      <c r="G57" s="76"/>
      <c r="H57" s="78"/>
      <c r="I57" s="78"/>
      <c r="J57" s="78"/>
      <c r="K57" s="78"/>
      <c r="L57" s="77"/>
      <c r="M57" s="58"/>
      <c r="N57" s="59"/>
      <c r="O57" s="60"/>
      <c r="P57" s="61"/>
      <c r="Q57" s="61"/>
      <c r="R57" s="61"/>
      <c r="S57" s="61"/>
      <c r="T57" s="61"/>
      <c r="U57" s="54"/>
      <c r="LP57" s="2"/>
      <c r="LQ57" s="90"/>
      <c r="LR57" s="100"/>
      <c r="LS57" s="90"/>
      <c r="LT57" s="100"/>
      <c r="LU57" s="90"/>
      <c r="LV57" s="100"/>
      <c r="LW57" s="90"/>
      <c r="LX57" s="2"/>
      <c r="LY57" s="90"/>
      <c r="LZ57" s="90"/>
      <c r="MA57" s="90"/>
      <c r="MB57" s="90"/>
    </row>
    <row r="58" spans="2:340" ht="50.25" customHeight="1">
      <c r="B58" s="74"/>
      <c r="C58" s="74"/>
      <c r="D58" s="76"/>
      <c r="E58" s="76"/>
      <c r="F58" s="76"/>
      <c r="G58" s="76"/>
      <c r="H58" s="78"/>
      <c r="I58" s="78"/>
      <c r="J58" s="78"/>
      <c r="K58" s="78"/>
      <c r="L58" s="77"/>
      <c r="M58" s="58"/>
      <c r="N58" s="59"/>
      <c r="O58" s="60"/>
      <c r="P58" s="61"/>
      <c r="Q58" s="61"/>
      <c r="R58" s="61"/>
      <c r="S58" s="61"/>
      <c r="T58" s="61"/>
      <c r="U58" s="54"/>
      <c r="LQ58" s="316" t="s">
        <v>537</v>
      </c>
    </row>
    <row r="59" spans="2:340" ht="50.25" customHeight="1">
      <c r="B59" s="74"/>
      <c r="C59" s="74"/>
      <c r="D59" s="666"/>
      <c r="E59" s="666"/>
      <c r="F59" s="666"/>
      <c r="G59" s="666"/>
      <c r="H59" s="665"/>
      <c r="I59" s="665"/>
      <c r="J59" s="665"/>
      <c r="K59" s="665"/>
      <c r="L59" s="670"/>
      <c r="M59" s="58"/>
      <c r="N59" s="59"/>
      <c r="O59" s="60"/>
      <c r="P59" s="61"/>
      <c r="Q59" s="61"/>
      <c r="R59" s="61"/>
      <c r="S59" s="61"/>
      <c r="T59" s="61"/>
      <c r="U59" s="54"/>
      <c r="LW59" s="328"/>
    </row>
    <row r="60" spans="2:340" ht="50.25" customHeight="1">
      <c r="B60" s="74"/>
      <c r="C60" s="74"/>
      <c r="D60" s="666"/>
      <c r="E60" s="666"/>
      <c r="F60" s="666"/>
      <c r="G60" s="666"/>
      <c r="H60" s="665"/>
      <c r="I60" s="665"/>
      <c r="J60" s="665"/>
      <c r="K60" s="665"/>
      <c r="L60" s="670"/>
      <c r="M60" s="58"/>
      <c r="N60" s="59"/>
      <c r="O60" s="60"/>
      <c r="P60" s="60"/>
      <c r="Q60" s="60"/>
      <c r="R60" s="60"/>
      <c r="S60" s="60"/>
      <c r="T60" s="60"/>
      <c r="U60" s="54"/>
    </row>
    <row r="61" spans="2:340" ht="50.25" customHeight="1">
      <c r="B61" s="74"/>
      <c r="C61" s="74"/>
      <c r="D61" s="666"/>
      <c r="E61" s="666"/>
      <c r="F61" s="666"/>
      <c r="G61" s="666"/>
      <c r="H61" s="665"/>
      <c r="I61" s="665"/>
      <c r="J61" s="665"/>
      <c r="K61" s="665"/>
      <c r="L61" s="670"/>
      <c r="M61" s="58"/>
      <c r="N61" s="59"/>
      <c r="O61" s="60"/>
      <c r="P61" s="60"/>
      <c r="Q61" s="60"/>
      <c r="R61" s="60"/>
      <c r="S61" s="60"/>
      <c r="T61" s="60"/>
      <c r="U61" s="54"/>
    </row>
    <row r="62" spans="2:340" ht="50.25" customHeight="1">
      <c r="B62" s="74"/>
      <c r="C62" s="74"/>
      <c r="D62" s="666"/>
      <c r="E62" s="666"/>
      <c r="F62" s="666"/>
      <c r="G62" s="666"/>
      <c r="H62" s="665"/>
      <c r="I62" s="665"/>
      <c r="J62" s="665"/>
      <c r="K62" s="665"/>
      <c r="L62" s="670"/>
      <c r="M62" s="62"/>
      <c r="N62" s="63"/>
      <c r="O62" s="60"/>
      <c r="P62" s="61"/>
      <c r="Q62" s="61"/>
      <c r="R62" s="61"/>
      <c r="S62" s="61"/>
      <c r="T62" s="61"/>
      <c r="U62" s="54"/>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c r="EO62" s="31"/>
      <c r="EP62" s="31"/>
      <c r="EQ62" s="31"/>
      <c r="ER62" s="31"/>
      <c r="ES62" s="31"/>
      <c r="ET62" s="31"/>
      <c r="EU62" s="31"/>
      <c r="EV62" s="31"/>
      <c r="EW62" s="31"/>
      <c r="EX62" s="31"/>
      <c r="EY62" s="31"/>
      <c r="EZ62" s="31"/>
      <c r="FA62" s="31"/>
      <c r="FB62" s="31"/>
      <c r="FC62" s="31"/>
      <c r="FD62" s="31"/>
      <c r="FE62" s="31"/>
      <c r="FF62" s="31"/>
      <c r="FG62" s="31"/>
      <c r="FH62" s="31"/>
      <c r="FI62" s="31"/>
      <c r="FJ62" s="31"/>
      <c r="FK62" s="31"/>
      <c r="FL62" s="31"/>
      <c r="FM62" s="31"/>
      <c r="FN62" s="31"/>
      <c r="FO62" s="31"/>
      <c r="FP62" s="31"/>
      <c r="FQ62" s="31"/>
      <c r="FR62" s="31"/>
      <c r="FS62" s="31"/>
      <c r="FT62" s="31"/>
      <c r="FU62" s="31"/>
      <c r="FV62" s="31"/>
      <c r="FW62" s="31"/>
      <c r="FX62" s="31"/>
      <c r="FY62" s="31"/>
      <c r="FZ62" s="31"/>
      <c r="GA62" s="31"/>
      <c r="GB62" s="31"/>
      <c r="GC62" s="31"/>
      <c r="GD62" s="31"/>
      <c r="GE62" s="31"/>
      <c r="GF62" s="31"/>
      <c r="GG62" s="31"/>
      <c r="GH62" s="31"/>
      <c r="GI62" s="31"/>
      <c r="GJ62" s="31"/>
      <c r="GK62" s="31"/>
      <c r="GL62" s="31"/>
      <c r="GM62" s="31"/>
      <c r="GN62" s="31"/>
      <c r="GO62" s="31"/>
      <c r="GP62" s="31"/>
      <c r="GQ62" s="31"/>
      <c r="GR62" s="31"/>
      <c r="GS62" s="31"/>
      <c r="GT62" s="31"/>
      <c r="GU62" s="31"/>
      <c r="GV62" s="31"/>
      <c r="GW62" s="31"/>
      <c r="GX62" s="31"/>
      <c r="GY62" s="31"/>
      <c r="GZ62" s="31"/>
      <c r="HA62" s="31"/>
      <c r="HB62" s="31"/>
      <c r="HC62" s="31"/>
      <c r="HD62" s="31"/>
      <c r="HE62" s="31"/>
      <c r="HF62" s="31"/>
      <c r="HG62" s="31"/>
      <c r="HH62" s="31"/>
      <c r="HI62" s="31"/>
      <c r="HJ62" s="31"/>
      <c r="HK62" s="31"/>
      <c r="HL62" s="31"/>
      <c r="HM62" s="31"/>
      <c r="HN62" s="31"/>
      <c r="HO62" s="31"/>
      <c r="HP62" s="31"/>
      <c r="HQ62" s="31"/>
      <c r="HR62" s="31"/>
      <c r="HS62" s="31"/>
      <c r="HT62" s="31"/>
      <c r="HU62" s="31"/>
      <c r="HV62" s="31"/>
      <c r="HW62" s="31"/>
      <c r="HX62" s="31"/>
      <c r="HY62" s="31"/>
      <c r="HZ62" s="31"/>
      <c r="IA62" s="31"/>
      <c r="IB62" s="31"/>
      <c r="IC62" s="31"/>
      <c r="ID62" s="31"/>
      <c r="IE62" s="31"/>
      <c r="IF62" s="31"/>
      <c r="IG62" s="31"/>
      <c r="IH62" s="31"/>
      <c r="II62" s="31"/>
      <c r="IJ62" s="31"/>
      <c r="IK62" s="31"/>
      <c r="IL62" s="31"/>
      <c r="IM62" s="31"/>
      <c r="IN62" s="31"/>
      <c r="IO62" s="31"/>
      <c r="IP62" s="31"/>
      <c r="IQ62" s="31"/>
      <c r="IR62" s="31"/>
      <c r="IS62" s="31"/>
      <c r="IT62" s="31"/>
      <c r="IU62" s="31"/>
      <c r="IV62" s="31"/>
      <c r="IW62" s="31"/>
      <c r="IX62" s="31"/>
      <c r="IY62" s="31"/>
      <c r="IZ62" s="31"/>
      <c r="JA62" s="31"/>
      <c r="JB62" s="31"/>
      <c r="JC62" s="31"/>
      <c r="JD62" s="31"/>
      <c r="JE62" s="31"/>
      <c r="JF62" s="31"/>
      <c r="JG62" s="31"/>
      <c r="JH62" s="31"/>
      <c r="JI62" s="31"/>
      <c r="JJ62" s="31"/>
      <c r="JK62" s="31"/>
      <c r="JL62" s="31"/>
      <c r="JM62" s="31"/>
      <c r="JN62" s="31"/>
      <c r="JO62" s="31"/>
      <c r="JP62" s="31"/>
      <c r="JQ62" s="31"/>
      <c r="JR62" s="31"/>
      <c r="JS62" s="31"/>
      <c r="JT62" s="31"/>
      <c r="JU62" s="31"/>
      <c r="JV62" s="31"/>
      <c r="JW62" s="31"/>
      <c r="JX62" s="31"/>
      <c r="JY62" s="31"/>
      <c r="JZ62" s="31"/>
      <c r="KA62" s="31"/>
      <c r="KB62" s="31"/>
      <c r="KC62" s="31"/>
      <c r="KD62" s="31"/>
      <c r="KE62" s="31"/>
      <c r="KF62" s="31"/>
      <c r="KG62" s="31"/>
      <c r="KH62" s="31"/>
      <c r="KI62" s="31"/>
      <c r="KJ62" s="31"/>
      <c r="KK62" s="31"/>
      <c r="KL62" s="31"/>
      <c r="KM62" s="31"/>
      <c r="KN62" s="31"/>
      <c r="KO62" s="31"/>
      <c r="KP62" s="31"/>
      <c r="KQ62" s="31"/>
      <c r="KR62" s="31"/>
      <c r="KS62" s="31"/>
      <c r="KT62" s="31"/>
      <c r="KU62" s="31"/>
      <c r="KV62" s="31"/>
      <c r="KW62" s="31"/>
      <c r="KX62" s="31"/>
      <c r="KY62" s="31"/>
      <c r="KZ62" s="31"/>
      <c r="LA62" s="31"/>
      <c r="LB62" s="31"/>
      <c r="LC62" s="31"/>
      <c r="LD62" s="31"/>
      <c r="LE62" s="31"/>
      <c r="LF62" s="31"/>
      <c r="LG62" s="31"/>
      <c r="LH62" s="31"/>
      <c r="LI62" s="31"/>
      <c r="LJ62" s="31"/>
      <c r="LK62" s="31"/>
      <c r="LL62" s="31"/>
    </row>
    <row r="63" spans="2:340" ht="50.25" customHeight="1">
      <c r="B63" s="74"/>
      <c r="C63" s="667"/>
      <c r="D63" s="666"/>
      <c r="E63" s="666"/>
      <c r="F63" s="666"/>
      <c r="G63" s="666"/>
      <c r="H63" s="665"/>
      <c r="I63" s="665"/>
      <c r="J63" s="665"/>
      <c r="K63" s="665"/>
      <c r="L63" s="670"/>
      <c r="M63" s="58"/>
      <c r="N63" s="59"/>
      <c r="O63" s="60"/>
      <c r="P63" s="61"/>
      <c r="Q63" s="61"/>
      <c r="R63" s="61"/>
      <c r="S63" s="61"/>
      <c r="T63" s="61"/>
      <c r="U63" s="54"/>
    </row>
    <row r="64" spans="2:340" ht="50.25" customHeight="1">
      <c r="B64" s="74"/>
      <c r="C64" s="667"/>
      <c r="D64" s="666"/>
      <c r="E64" s="666"/>
      <c r="F64" s="666"/>
      <c r="G64" s="666"/>
      <c r="H64" s="665"/>
      <c r="I64" s="665"/>
      <c r="J64" s="665"/>
      <c r="K64" s="665"/>
      <c r="L64" s="670"/>
      <c r="M64" s="58"/>
      <c r="N64" s="59"/>
      <c r="O64" s="60"/>
      <c r="P64" s="61"/>
      <c r="Q64" s="61"/>
      <c r="R64" s="61"/>
      <c r="S64" s="61"/>
      <c r="T64" s="61"/>
      <c r="U64" s="54"/>
    </row>
    <row r="65" spans="2:21" ht="50.25" customHeight="1">
      <c r="B65" s="74"/>
      <c r="C65" s="667"/>
      <c r="D65" s="666"/>
      <c r="E65" s="666"/>
      <c r="F65" s="666"/>
      <c r="G65" s="666"/>
      <c r="H65" s="665"/>
      <c r="I65" s="665"/>
      <c r="J65" s="665"/>
      <c r="K65" s="665"/>
      <c r="L65" s="670"/>
      <c r="M65" s="58"/>
      <c r="N65" s="59"/>
      <c r="O65" s="60"/>
      <c r="P65" s="61"/>
      <c r="Q65" s="61"/>
      <c r="R65" s="61"/>
      <c r="S65" s="61"/>
      <c r="T65" s="61"/>
      <c r="U65" s="54"/>
    </row>
    <row r="66" spans="2:21" ht="50.25" customHeight="1">
      <c r="B66" s="74"/>
      <c r="C66" s="667"/>
      <c r="D66" s="666"/>
      <c r="E66" s="666"/>
      <c r="F66" s="666"/>
      <c r="G66" s="666"/>
      <c r="H66" s="665"/>
      <c r="I66" s="665"/>
      <c r="J66" s="665"/>
      <c r="K66" s="665"/>
      <c r="L66" s="670"/>
      <c r="M66" s="58"/>
      <c r="N66" s="59"/>
      <c r="O66" s="60"/>
      <c r="P66" s="61"/>
      <c r="Q66" s="61"/>
      <c r="R66" s="61"/>
      <c r="S66" s="61"/>
      <c r="T66" s="61"/>
      <c r="U66" s="54"/>
    </row>
    <row r="67" spans="2:21" ht="50.25" customHeight="1">
      <c r="B67" s="74"/>
      <c r="C67" s="667"/>
      <c r="D67" s="666"/>
      <c r="E67" s="666"/>
      <c r="F67" s="666"/>
      <c r="G67" s="666"/>
      <c r="H67" s="665"/>
      <c r="I67" s="665"/>
      <c r="J67" s="665"/>
      <c r="K67" s="665"/>
      <c r="L67" s="670"/>
      <c r="M67" s="58"/>
      <c r="N67" s="59"/>
      <c r="O67" s="60"/>
      <c r="P67" s="61"/>
      <c r="Q67" s="61"/>
      <c r="R67" s="61"/>
      <c r="S67" s="61"/>
      <c r="T67" s="61"/>
      <c r="U67" s="54"/>
    </row>
    <row r="68" spans="2:21" ht="50.25" customHeight="1">
      <c r="B68" s="74"/>
      <c r="C68" s="667"/>
      <c r="D68" s="666"/>
      <c r="E68" s="666"/>
      <c r="F68" s="666"/>
      <c r="G68" s="666"/>
      <c r="H68" s="665"/>
      <c r="I68" s="665"/>
      <c r="J68" s="665"/>
      <c r="K68" s="665"/>
      <c r="L68" s="670"/>
      <c r="M68" s="58"/>
      <c r="N68" s="59"/>
      <c r="O68" s="60"/>
      <c r="P68" s="61"/>
      <c r="Q68" s="61"/>
      <c r="R68" s="61"/>
      <c r="S68" s="61"/>
      <c r="T68" s="61"/>
      <c r="U68" s="54"/>
    </row>
    <row r="69" spans="2:21" ht="50.25" customHeight="1">
      <c r="B69" s="74"/>
      <c r="C69" s="667"/>
      <c r="D69" s="666"/>
      <c r="E69" s="666"/>
      <c r="F69" s="666"/>
      <c r="G69" s="666"/>
      <c r="H69" s="665"/>
      <c r="I69" s="665"/>
      <c r="J69" s="665"/>
      <c r="K69" s="665"/>
      <c r="L69" s="670"/>
      <c r="M69" s="58"/>
      <c r="N69" s="59"/>
      <c r="O69" s="60"/>
      <c r="P69" s="61"/>
      <c r="Q69" s="61"/>
      <c r="R69" s="61"/>
      <c r="S69" s="61"/>
      <c r="T69" s="61"/>
      <c r="U69" s="54"/>
    </row>
    <row r="70" spans="2:21" ht="50.25" customHeight="1">
      <c r="B70" s="74"/>
      <c r="C70" s="667"/>
      <c r="D70" s="666"/>
      <c r="E70" s="666"/>
      <c r="F70" s="666"/>
      <c r="G70" s="666"/>
      <c r="H70" s="665"/>
      <c r="I70" s="665"/>
      <c r="J70" s="665"/>
      <c r="K70" s="665"/>
      <c r="L70" s="670"/>
      <c r="M70" s="58"/>
      <c r="N70" s="59"/>
      <c r="O70" s="60"/>
      <c r="P70" s="61"/>
      <c r="Q70" s="61"/>
      <c r="R70" s="61"/>
      <c r="S70" s="61"/>
      <c r="T70" s="61"/>
      <c r="U70" s="54"/>
    </row>
    <row r="71" spans="2:21" ht="50.25" customHeight="1">
      <c r="B71" s="74"/>
      <c r="C71" s="667"/>
      <c r="D71" s="666"/>
      <c r="E71" s="666"/>
      <c r="F71" s="666"/>
      <c r="G71" s="666"/>
      <c r="H71" s="665"/>
      <c r="I71" s="665"/>
      <c r="J71" s="665"/>
      <c r="K71" s="665"/>
      <c r="L71" s="670"/>
      <c r="M71" s="58"/>
      <c r="N71" s="59"/>
      <c r="O71" s="60"/>
      <c r="P71" s="61"/>
      <c r="Q71" s="61"/>
      <c r="R71" s="61"/>
      <c r="S71" s="61"/>
      <c r="T71" s="61"/>
      <c r="U71" s="54"/>
    </row>
    <row r="72" spans="2:21" ht="50.25" customHeight="1">
      <c r="B72" s="74"/>
      <c r="C72" s="667"/>
      <c r="D72" s="666"/>
      <c r="E72" s="666"/>
      <c r="F72" s="666"/>
      <c r="G72" s="666"/>
      <c r="H72" s="665"/>
      <c r="I72" s="665"/>
      <c r="J72" s="665"/>
      <c r="K72" s="665"/>
      <c r="L72" s="670"/>
      <c r="M72" s="58"/>
      <c r="N72" s="59"/>
      <c r="O72" s="60"/>
      <c r="P72" s="61"/>
      <c r="Q72" s="61"/>
      <c r="R72" s="61"/>
      <c r="S72" s="61"/>
      <c r="T72" s="61"/>
      <c r="U72" s="54"/>
    </row>
    <row r="73" spans="2:21" ht="50.25" customHeight="1">
      <c r="B73" s="74"/>
      <c r="C73" s="667"/>
      <c r="D73" s="666"/>
      <c r="E73" s="666"/>
      <c r="F73" s="666"/>
      <c r="G73" s="666"/>
      <c r="H73" s="665"/>
      <c r="I73" s="665"/>
      <c r="J73" s="665"/>
      <c r="K73" s="665"/>
      <c r="L73" s="670"/>
      <c r="M73" s="58"/>
      <c r="N73" s="59"/>
      <c r="O73" s="60"/>
      <c r="P73" s="61"/>
      <c r="Q73" s="61"/>
      <c r="R73" s="61"/>
      <c r="S73" s="61"/>
      <c r="T73" s="61"/>
      <c r="U73" s="54"/>
    </row>
    <row r="74" spans="2:21" ht="50.25" customHeight="1">
      <c r="B74" s="74"/>
      <c r="C74" s="667"/>
      <c r="D74" s="666"/>
      <c r="E74" s="666"/>
      <c r="F74" s="666"/>
      <c r="G74" s="666"/>
      <c r="H74" s="665"/>
      <c r="I74" s="665"/>
      <c r="J74" s="665"/>
      <c r="K74" s="665"/>
      <c r="L74" s="670"/>
      <c r="M74" s="58"/>
      <c r="N74" s="59"/>
      <c r="O74" s="60"/>
      <c r="P74" s="61"/>
      <c r="Q74" s="61"/>
      <c r="R74" s="61"/>
      <c r="S74" s="61"/>
      <c r="T74" s="61"/>
      <c r="U74" s="54"/>
    </row>
    <row r="75" spans="2:21" ht="50.25" customHeight="1">
      <c r="B75" s="74"/>
      <c r="C75" s="667"/>
      <c r="D75" s="666"/>
      <c r="E75" s="666"/>
      <c r="F75" s="666"/>
      <c r="G75" s="666"/>
      <c r="H75" s="665"/>
      <c r="I75" s="665"/>
      <c r="J75" s="665"/>
      <c r="K75" s="665"/>
      <c r="L75" s="670"/>
      <c r="M75" s="58"/>
      <c r="N75" s="59"/>
      <c r="O75" s="60"/>
      <c r="P75" s="61"/>
      <c r="Q75" s="61"/>
      <c r="R75" s="61"/>
      <c r="S75" s="61"/>
      <c r="T75" s="61"/>
      <c r="U75" s="54"/>
    </row>
    <row r="76" spans="2:21" ht="50.25" customHeight="1">
      <c r="B76" s="74"/>
      <c r="C76" s="667"/>
      <c r="D76" s="666"/>
      <c r="E76" s="666"/>
      <c r="F76" s="666"/>
      <c r="G76" s="666"/>
      <c r="H76" s="665"/>
      <c r="I76" s="665"/>
      <c r="J76" s="665"/>
      <c r="K76" s="665"/>
      <c r="L76" s="670"/>
      <c r="M76" s="58"/>
      <c r="N76" s="59"/>
      <c r="O76" s="60"/>
      <c r="P76" s="61"/>
      <c r="Q76" s="61"/>
      <c r="R76" s="61"/>
      <c r="S76" s="61"/>
      <c r="T76" s="61"/>
      <c r="U76" s="54"/>
    </row>
    <row r="77" spans="2:21" ht="50.25" customHeight="1">
      <c r="B77" s="74"/>
      <c r="C77" s="667"/>
      <c r="D77" s="666"/>
      <c r="E77" s="666"/>
      <c r="F77" s="666"/>
      <c r="G77" s="666"/>
      <c r="H77" s="665"/>
      <c r="I77" s="665"/>
      <c r="J77" s="665"/>
      <c r="K77" s="665"/>
      <c r="L77" s="670"/>
      <c r="M77" s="58"/>
      <c r="N77" s="59"/>
      <c r="O77" s="60"/>
      <c r="P77" s="61"/>
      <c r="Q77" s="61"/>
      <c r="R77" s="61"/>
      <c r="S77" s="61"/>
      <c r="T77" s="61"/>
      <c r="U77" s="54"/>
    </row>
    <row r="78" spans="2:21" ht="50.25" customHeight="1">
      <c r="B78" s="74"/>
      <c r="C78" s="667"/>
      <c r="D78" s="666"/>
      <c r="E78" s="666"/>
      <c r="F78" s="666"/>
      <c r="G78" s="666"/>
      <c r="H78" s="665"/>
      <c r="I78" s="665"/>
      <c r="J78" s="665"/>
      <c r="K78" s="665"/>
      <c r="L78" s="670"/>
      <c r="M78" s="58"/>
      <c r="N78" s="59"/>
      <c r="O78" s="60"/>
      <c r="P78" s="61"/>
      <c r="Q78" s="61"/>
      <c r="R78" s="61"/>
      <c r="S78" s="61"/>
      <c r="T78" s="61"/>
      <c r="U78" s="54"/>
    </row>
    <row r="79" spans="2:21" ht="50.25" customHeight="1">
      <c r="B79" s="74"/>
      <c r="C79" s="667"/>
      <c r="D79" s="666"/>
      <c r="E79" s="666"/>
      <c r="F79" s="666"/>
      <c r="G79" s="666"/>
      <c r="H79" s="665"/>
      <c r="I79" s="665"/>
      <c r="J79" s="665"/>
      <c r="K79" s="665"/>
      <c r="L79" s="670"/>
      <c r="M79" s="58"/>
      <c r="N79" s="59"/>
      <c r="O79" s="60"/>
      <c r="P79" s="61"/>
      <c r="Q79" s="61"/>
      <c r="R79" s="61"/>
      <c r="S79" s="61"/>
      <c r="T79" s="61"/>
      <c r="U79" s="54"/>
    </row>
    <row r="80" spans="2:21" ht="50.25" customHeight="1">
      <c r="B80" s="74"/>
      <c r="C80" s="667"/>
      <c r="D80" s="666"/>
      <c r="E80" s="666"/>
      <c r="F80" s="666"/>
      <c r="G80" s="666"/>
      <c r="H80" s="665"/>
      <c r="I80" s="665"/>
      <c r="J80" s="665"/>
      <c r="K80" s="665"/>
      <c r="L80" s="670"/>
      <c r="M80" s="58"/>
      <c r="N80" s="59"/>
      <c r="O80" s="60"/>
      <c r="P80" s="61"/>
      <c r="Q80" s="61"/>
      <c r="R80" s="61"/>
      <c r="S80" s="61"/>
      <c r="T80" s="61"/>
      <c r="U80" s="54"/>
    </row>
    <row r="81" spans="2:21" ht="50.25" customHeight="1">
      <c r="B81" s="74"/>
      <c r="C81" s="667"/>
      <c r="D81" s="666"/>
      <c r="E81" s="666"/>
      <c r="F81" s="666"/>
      <c r="G81" s="666"/>
      <c r="H81" s="665"/>
      <c r="I81" s="665"/>
      <c r="J81" s="665"/>
      <c r="K81" s="665"/>
      <c r="L81" s="670"/>
      <c r="M81" s="58"/>
      <c r="N81" s="59"/>
      <c r="O81" s="60"/>
      <c r="P81" s="61"/>
      <c r="Q81" s="61"/>
      <c r="R81" s="61"/>
      <c r="S81" s="61"/>
      <c r="T81" s="61"/>
      <c r="U81" s="54"/>
    </row>
    <row r="82" spans="2:21" ht="50.25" customHeight="1">
      <c r="B82" s="74"/>
      <c r="C82" s="667"/>
      <c r="D82" s="666"/>
      <c r="E82" s="666"/>
      <c r="F82" s="666"/>
      <c r="G82" s="666"/>
      <c r="H82" s="665"/>
      <c r="I82" s="665"/>
      <c r="J82" s="665"/>
      <c r="K82" s="665"/>
      <c r="L82" s="670"/>
      <c r="M82" s="58"/>
      <c r="N82" s="59"/>
      <c r="O82" s="60"/>
      <c r="P82" s="61"/>
      <c r="Q82" s="61"/>
      <c r="R82" s="61"/>
      <c r="S82" s="61"/>
      <c r="T82" s="61"/>
      <c r="U82" s="54"/>
    </row>
    <row r="83" spans="2:21" ht="50.25" customHeight="1">
      <c r="B83" s="74"/>
      <c r="C83" s="667"/>
      <c r="D83" s="666"/>
      <c r="E83" s="666"/>
      <c r="F83" s="666"/>
      <c r="G83" s="666"/>
      <c r="H83" s="665"/>
      <c r="I83" s="665"/>
      <c r="J83" s="665"/>
      <c r="K83" s="665"/>
      <c r="L83" s="670"/>
      <c r="M83" s="58"/>
      <c r="N83" s="59"/>
      <c r="O83" s="60"/>
      <c r="P83" s="61"/>
      <c r="Q83" s="61"/>
      <c r="R83" s="61"/>
      <c r="S83" s="61"/>
      <c r="T83" s="61"/>
      <c r="U83" s="54"/>
    </row>
    <row r="84" spans="2:21" ht="50.25" customHeight="1">
      <c r="B84" s="74"/>
      <c r="C84" s="667"/>
      <c r="D84" s="666"/>
      <c r="E84" s="666"/>
      <c r="F84" s="666"/>
      <c r="G84" s="666"/>
      <c r="H84" s="665"/>
      <c r="I84" s="665"/>
      <c r="J84" s="665"/>
      <c r="K84" s="665"/>
      <c r="L84" s="670"/>
      <c r="M84" s="58"/>
      <c r="N84" s="59"/>
      <c r="O84" s="60"/>
      <c r="P84" s="61"/>
      <c r="Q84" s="61"/>
      <c r="R84" s="61"/>
      <c r="S84" s="61"/>
      <c r="T84" s="61"/>
      <c r="U84" s="54"/>
    </row>
    <row r="85" spans="2:21" ht="50.25" customHeight="1">
      <c r="B85" s="74"/>
      <c r="C85" s="667"/>
      <c r="D85" s="666"/>
      <c r="E85" s="666"/>
      <c r="F85" s="666"/>
      <c r="G85" s="666"/>
      <c r="H85" s="665"/>
      <c r="I85" s="665"/>
      <c r="J85" s="665"/>
      <c r="K85" s="665"/>
      <c r="L85" s="670"/>
      <c r="M85" s="58"/>
      <c r="N85" s="59"/>
      <c r="O85" s="60"/>
      <c r="P85" s="61"/>
      <c r="Q85" s="61"/>
      <c r="R85" s="61"/>
      <c r="S85" s="61"/>
      <c r="T85" s="61"/>
      <c r="U85" s="54"/>
    </row>
    <row r="86" spans="2:21" ht="50.25" customHeight="1">
      <c r="B86" s="74"/>
      <c r="C86" s="667"/>
      <c r="D86" s="666"/>
      <c r="E86" s="666"/>
      <c r="F86" s="666"/>
      <c r="G86" s="666"/>
      <c r="H86" s="665"/>
      <c r="I86" s="665"/>
      <c r="J86" s="665"/>
      <c r="K86" s="665"/>
      <c r="L86" s="670"/>
      <c r="M86" s="58"/>
      <c r="N86" s="59"/>
      <c r="O86" s="60"/>
      <c r="P86" s="61"/>
      <c r="Q86" s="61"/>
      <c r="R86" s="61"/>
      <c r="S86" s="61"/>
      <c r="T86" s="61"/>
      <c r="U86" s="54"/>
    </row>
    <row r="87" spans="2:21" ht="50.25" customHeight="1">
      <c r="B87" s="74"/>
      <c r="C87" s="667"/>
      <c r="D87" s="666"/>
      <c r="E87" s="666"/>
      <c r="F87" s="666"/>
      <c r="G87" s="666"/>
      <c r="H87" s="665"/>
      <c r="I87" s="665"/>
      <c r="J87" s="665"/>
      <c r="K87" s="665"/>
      <c r="L87" s="670"/>
      <c r="M87" s="58"/>
      <c r="N87" s="59"/>
      <c r="O87" s="60"/>
      <c r="P87" s="61"/>
      <c r="Q87" s="61"/>
      <c r="R87" s="61"/>
      <c r="S87" s="61"/>
      <c r="T87" s="61"/>
      <c r="U87" s="54"/>
    </row>
    <row r="88" spans="2:21" ht="50.25" customHeight="1">
      <c r="B88" s="74"/>
      <c r="C88" s="667"/>
      <c r="D88" s="666"/>
      <c r="E88" s="666"/>
      <c r="F88" s="666"/>
      <c r="G88" s="666"/>
      <c r="H88" s="665"/>
      <c r="I88" s="665"/>
      <c r="J88" s="665"/>
      <c r="K88" s="665"/>
      <c r="L88" s="670"/>
      <c r="M88" s="58"/>
      <c r="N88" s="59"/>
      <c r="O88" s="60"/>
      <c r="P88" s="61"/>
      <c r="Q88" s="61"/>
      <c r="R88" s="61"/>
      <c r="S88" s="61"/>
      <c r="T88" s="61"/>
      <c r="U88" s="54"/>
    </row>
    <row r="89" spans="2:21" ht="50.25" customHeight="1">
      <c r="B89" s="74"/>
      <c r="C89" s="667"/>
      <c r="D89" s="666"/>
      <c r="E89" s="666"/>
      <c r="F89" s="666"/>
      <c r="G89" s="666"/>
      <c r="H89" s="665"/>
      <c r="I89" s="665"/>
      <c r="J89" s="665"/>
      <c r="K89" s="665"/>
      <c r="L89" s="670"/>
      <c r="M89" s="58"/>
      <c r="N89" s="59"/>
      <c r="O89" s="60"/>
      <c r="P89" s="61"/>
      <c r="Q89" s="61"/>
      <c r="R89" s="61"/>
      <c r="S89" s="61"/>
      <c r="T89" s="61"/>
      <c r="U89" s="54"/>
    </row>
    <row r="90" spans="2:21" ht="50.25" customHeight="1">
      <c r="B90" s="74"/>
      <c r="C90" s="667"/>
      <c r="D90" s="666"/>
      <c r="E90" s="666"/>
      <c r="F90" s="666"/>
      <c r="G90" s="666"/>
      <c r="H90" s="665"/>
      <c r="I90" s="665"/>
      <c r="J90" s="665"/>
      <c r="K90" s="665"/>
      <c r="L90" s="670"/>
      <c r="M90" s="58"/>
      <c r="N90" s="59"/>
      <c r="O90" s="60"/>
      <c r="P90" s="61"/>
      <c r="Q90" s="61"/>
      <c r="R90" s="61"/>
      <c r="S90" s="61"/>
      <c r="T90" s="61"/>
      <c r="U90" s="54"/>
    </row>
    <row r="91" spans="2:21" ht="50.25" customHeight="1">
      <c r="B91" s="74"/>
      <c r="C91" s="667"/>
      <c r="D91" s="666"/>
      <c r="E91" s="666"/>
      <c r="F91" s="666"/>
      <c r="G91" s="666"/>
      <c r="H91" s="665"/>
      <c r="I91" s="665"/>
      <c r="J91" s="665"/>
      <c r="K91" s="665"/>
      <c r="L91" s="670"/>
      <c r="M91" s="58"/>
      <c r="N91" s="59"/>
      <c r="O91" s="60"/>
      <c r="P91" s="61"/>
      <c r="Q91" s="61"/>
      <c r="R91" s="61"/>
      <c r="S91" s="61"/>
      <c r="T91" s="61"/>
      <c r="U91" s="54"/>
    </row>
    <row r="92" spans="2:21" ht="50.25" customHeight="1">
      <c r="B92" s="74"/>
      <c r="C92" s="667"/>
      <c r="D92" s="666"/>
      <c r="E92" s="666"/>
      <c r="F92" s="666"/>
      <c r="G92" s="666"/>
      <c r="H92" s="665"/>
      <c r="I92" s="665"/>
      <c r="J92" s="665"/>
      <c r="K92" s="665"/>
      <c r="L92" s="670"/>
      <c r="M92" s="58"/>
      <c r="N92" s="59"/>
      <c r="O92" s="60"/>
      <c r="P92" s="61"/>
      <c r="Q92" s="61"/>
      <c r="R92" s="61"/>
      <c r="S92" s="61"/>
      <c r="T92" s="61"/>
      <c r="U92" s="54"/>
    </row>
    <row r="93" spans="2:21" ht="50.25" customHeight="1">
      <c r="B93" s="74"/>
      <c r="C93" s="667"/>
      <c r="D93" s="666"/>
      <c r="E93" s="666"/>
      <c r="F93" s="666"/>
      <c r="G93" s="666"/>
      <c r="H93" s="665"/>
      <c r="I93" s="665"/>
      <c r="J93" s="665"/>
      <c r="K93" s="665"/>
      <c r="L93" s="670"/>
      <c r="M93" s="58"/>
      <c r="N93" s="59"/>
      <c r="O93" s="60"/>
      <c r="P93" s="61"/>
      <c r="Q93" s="61"/>
      <c r="R93" s="61"/>
      <c r="S93" s="61"/>
      <c r="T93" s="61"/>
      <c r="U93" s="54"/>
    </row>
    <row r="94" spans="2:21" ht="50.25" customHeight="1">
      <c r="B94" s="74"/>
      <c r="C94" s="667"/>
      <c r="D94" s="666"/>
      <c r="E94" s="666"/>
      <c r="F94" s="666"/>
      <c r="G94" s="666"/>
      <c r="H94" s="665"/>
      <c r="I94" s="665"/>
      <c r="J94" s="665"/>
      <c r="K94" s="665"/>
      <c r="L94" s="670"/>
      <c r="M94" s="58"/>
      <c r="N94" s="59"/>
      <c r="O94" s="60"/>
      <c r="P94" s="61"/>
      <c r="Q94" s="61"/>
      <c r="R94" s="61"/>
      <c r="S94" s="61"/>
      <c r="T94" s="61"/>
      <c r="U94" s="54"/>
    </row>
    <row r="95" spans="2:21" ht="50.25" customHeight="1">
      <c r="B95" s="74"/>
      <c r="C95" s="667"/>
      <c r="D95" s="666"/>
      <c r="E95" s="666"/>
      <c r="F95" s="666"/>
      <c r="G95" s="666"/>
      <c r="H95" s="665"/>
      <c r="I95" s="665"/>
      <c r="J95" s="665"/>
      <c r="K95" s="665"/>
      <c r="L95" s="670"/>
      <c r="M95" s="58"/>
      <c r="N95" s="59"/>
      <c r="O95" s="60"/>
      <c r="P95" s="61"/>
      <c r="Q95" s="61"/>
      <c r="R95" s="61"/>
      <c r="S95" s="61"/>
      <c r="T95" s="61"/>
      <c r="U95" s="54"/>
    </row>
    <row r="96" spans="2:21" ht="50.25" customHeight="1">
      <c r="B96" s="74"/>
      <c r="C96" s="667"/>
      <c r="D96" s="666"/>
      <c r="E96" s="666"/>
      <c r="F96" s="666"/>
      <c r="G96" s="666"/>
      <c r="H96" s="665"/>
      <c r="I96" s="665"/>
      <c r="J96" s="665"/>
      <c r="K96" s="665"/>
      <c r="L96" s="670"/>
      <c r="M96" s="58"/>
      <c r="N96" s="59"/>
      <c r="O96" s="60"/>
      <c r="P96" s="61"/>
      <c r="Q96" s="61"/>
      <c r="R96" s="61"/>
      <c r="S96" s="61"/>
      <c r="T96" s="61"/>
      <c r="U96" s="54"/>
    </row>
    <row r="97" spans="2:21" ht="50.25" customHeight="1">
      <c r="B97" s="74"/>
      <c r="C97" s="667"/>
      <c r="D97" s="666"/>
      <c r="E97" s="666"/>
      <c r="F97" s="666"/>
      <c r="G97" s="666"/>
      <c r="H97" s="665"/>
      <c r="I97" s="665"/>
      <c r="J97" s="665"/>
      <c r="K97" s="665"/>
      <c r="L97" s="670"/>
      <c r="M97" s="58"/>
      <c r="N97" s="59"/>
      <c r="O97" s="60"/>
      <c r="P97" s="61"/>
      <c r="Q97" s="61"/>
      <c r="R97" s="61"/>
      <c r="S97" s="61"/>
      <c r="T97" s="61"/>
      <c r="U97" s="54"/>
    </row>
    <row r="98" spans="2:21" ht="50.25" customHeight="1">
      <c r="B98" s="74"/>
      <c r="C98" s="667"/>
      <c r="D98" s="666"/>
      <c r="E98" s="666"/>
      <c r="F98" s="666"/>
      <c r="G98" s="666"/>
      <c r="H98" s="665"/>
      <c r="I98" s="665"/>
      <c r="J98" s="665"/>
      <c r="K98" s="665"/>
      <c r="L98" s="670"/>
      <c r="M98" s="58"/>
      <c r="N98" s="59"/>
      <c r="O98" s="60"/>
      <c r="P98" s="61"/>
      <c r="Q98" s="61"/>
      <c r="R98" s="61"/>
      <c r="S98" s="61"/>
      <c r="T98" s="61"/>
      <c r="U98" s="54"/>
    </row>
    <row r="99" spans="2:21" ht="50.25" customHeight="1">
      <c r="B99" s="74"/>
      <c r="C99" s="667"/>
      <c r="D99" s="666"/>
      <c r="E99" s="666"/>
      <c r="F99" s="666"/>
      <c r="G99" s="666"/>
      <c r="H99" s="665"/>
      <c r="I99" s="665"/>
      <c r="J99" s="665"/>
      <c r="K99" s="665"/>
      <c r="L99" s="670"/>
      <c r="M99" s="58"/>
      <c r="N99" s="59"/>
      <c r="O99" s="60"/>
      <c r="P99" s="61"/>
      <c r="Q99" s="61"/>
      <c r="R99" s="61"/>
      <c r="S99" s="61"/>
      <c r="T99" s="61"/>
      <c r="U99" s="54"/>
    </row>
    <row r="100" spans="2:21" ht="50.25" customHeight="1">
      <c r="B100" s="74"/>
      <c r="C100" s="667"/>
      <c r="D100" s="666"/>
      <c r="E100" s="666"/>
      <c r="F100" s="666"/>
      <c r="G100" s="666"/>
      <c r="H100" s="665"/>
      <c r="I100" s="665"/>
      <c r="J100" s="665"/>
      <c r="K100" s="665"/>
      <c r="L100" s="670"/>
      <c r="M100" s="58"/>
      <c r="N100" s="59"/>
      <c r="O100" s="60"/>
      <c r="P100" s="61"/>
      <c r="Q100" s="61"/>
      <c r="R100" s="61"/>
      <c r="S100" s="61"/>
      <c r="T100" s="61"/>
      <c r="U100" s="54"/>
    </row>
    <row r="101" spans="2:21" ht="50.25" customHeight="1">
      <c r="B101" s="74"/>
      <c r="C101" s="667"/>
      <c r="D101" s="666"/>
      <c r="E101" s="666"/>
      <c r="F101" s="666"/>
      <c r="G101" s="666"/>
      <c r="H101" s="665"/>
      <c r="I101" s="665"/>
      <c r="J101" s="665"/>
      <c r="K101" s="665"/>
      <c r="L101" s="670"/>
      <c r="M101" s="58"/>
      <c r="N101" s="59"/>
      <c r="O101" s="60"/>
      <c r="P101" s="61"/>
      <c r="Q101" s="61"/>
      <c r="R101" s="61"/>
      <c r="S101" s="61"/>
      <c r="T101" s="61"/>
      <c r="U101" s="54"/>
    </row>
    <row r="102" spans="2:21" ht="50.25" customHeight="1">
      <c r="B102" s="74"/>
      <c r="C102" s="667"/>
      <c r="D102" s="666"/>
      <c r="E102" s="666"/>
      <c r="F102" s="666"/>
      <c r="G102" s="666"/>
      <c r="H102" s="665"/>
      <c r="I102" s="665"/>
      <c r="J102" s="665"/>
      <c r="K102" s="665"/>
      <c r="L102" s="670"/>
      <c r="M102" s="58"/>
      <c r="N102" s="59"/>
      <c r="O102" s="60"/>
      <c r="P102" s="61"/>
      <c r="Q102" s="61"/>
      <c r="R102" s="61"/>
      <c r="S102" s="61"/>
      <c r="T102" s="61"/>
      <c r="U102" s="54"/>
    </row>
    <row r="103" spans="2:21" ht="50.25" customHeight="1">
      <c r="B103" s="74"/>
      <c r="C103" s="667"/>
      <c r="D103" s="666"/>
      <c r="E103" s="666"/>
      <c r="F103" s="666"/>
      <c r="G103" s="666"/>
      <c r="H103" s="665"/>
      <c r="I103" s="665"/>
      <c r="J103" s="665"/>
      <c r="K103" s="665"/>
      <c r="L103" s="670"/>
      <c r="M103" s="58"/>
      <c r="N103" s="59"/>
      <c r="O103" s="60"/>
      <c r="P103" s="61"/>
      <c r="Q103" s="61"/>
      <c r="R103" s="61"/>
      <c r="S103" s="61"/>
      <c r="T103" s="61"/>
      <c r="U103" s="54"/>
    </row>
    <row r="104" spans="2:21" ht="50.25" customHeight="1">
      <c r="B104" s="74"/>
      <c r="C104" s="667"/>
      <c r="D104" s="666"/>
      <c r="E104" s="666"/>
      <c r="F104" s="666"/>
      <c r="G104" s="666"/>
      <c r="H104" s="665"/>
      <c r="I104" s="665"/>
      <c r="J104" s="665"/>
      <c r="K104" s="665"/>
      <c r="L104" s="670"/>
      <c r="M104" s="58"/>
      <c r="N104" s="59"/>
      <c r="O104" s="60"/>
      <c r="P104" s="61"/>
      <c r="Q104" s="61"/>
      <c r="R104" s="61"/>
      <c r="S104" s="61"/>
      <c r="T104" s="61"/>
      <c r="U104" s="54"/>
    </row>
    <row r="105" spans="2:21" ht="50.25" customHeight="1">
      <c r="B105" s="74"/>
      <c r="C105" s="667"/>
      <c r="D105" s="666"/>
      <c r="E105" s="666"/>
      <c r="F105" s="666"/>
      <c r="G105" s="666"/>
      <c r="H105" s="665"/>
      <c r="I105" s="665"/>
      <c r="J105" s="665"/>
      <c r="K105" s="665"/>
      <c r="L105" s="670"/>
      <c r="M105" s="58"/>
      <c r="N105" s="59"/>
      <c r="O105" s="60"/>
      <c r="P105" s="61"/>
      <c r="Q105" s="61"/>
      <c r="R105" s="61"/>
      <c r="S105" s="61"/>
      <c r="T105" s="61"/>
      <c r="U105" s="54"/>
    </row>
    <row r="106" spans="2:21" ht="50.25" customHeight="1">
      <c r="B106" s="74"/>
      <c r="C106" s="667"/>
      <c r="D106" s="666"/>
      <c r="E106" s="666"/>
      <c r="F106" s="666"/>
      <c r="G106" s="666"/>
      <c r="H106" s="665"/>
      <c r="I106" s="665"/>
      <c r="J106" s="665"/>
      <c r="K106" s="665"/>
      <c r="L106" s="670"/>
      <c r="M106" s="58"/>
      <c r="N106" s="59"/>
      <c r="O106" s="60"/>
      <c r="P106" s="61"/>
      <c r="Q106" s="61"/>
      <c r="R106" s="61"/>
      <c r="S106" s="61"/>
      <c r="T106" s="61"/>
      <c r="U106" s="54"/>
    </row>
    <row r="107" spans="2:21" ht="50.25" customHeight="1">
      <c r="B107" s="74"/>
      <c r="C107" s="667"/>
      <c r="D107" s="666"/>
      <c r="E107" s="666"/>
      <c r="F107" s="666"/>
      <c r="G107" s="666"/>
      <c r="H107" s="665"/>
      <c r="I107" s="665"/>
      <c r="J107" s="665"/>
      <c r="K107" s="665"/>
      <c r="L107" s="670"/>
      <c r="M107" s="58"/>
      <c r="N107" s="59"/>
      <c r="O107" s="60"/>
      <c r="P107" s="61"/>
      <c r="Q107" s="61"/>
      <c r="R107" s="61"/>
      <c r="S107" s="61"/>
      <c r="T107" s="61"/>
      <c r="U107" s="54"/>
    </row>
    <row r="108" spans="2:21" ht="50.25" customHeight="1">
      <c r="B108" s="74"/>
      <c r="C108" s="667"/>
      <c r="D108" s="666"/>
      <c r="E108" s="666"/>
      <c r="F108" s="666"/>
      <c r="G108" s="666"/>
      <c r="H108" s="665"/>
      <c r="I108" s="665"/>
      <c r="J108" s="665"/>
      <c r="K108" s="665"/>
      <c r="L108" s="670"/>
      <c r="M108" s="58"/>
      <c r="N108" s="59"/>
      <c r="O108" s="60"/>
      <c r="P108" s="61"/>
      <c r="Q108" s="61"/>
      <c r="R108" s="61"/>
      <c r="S108" s="61"/>
      <c r="T108" s="61"/>
      <c r="U108" s="54"/>
    </row>
    <row r="109" spans="2:21" ht="50.25" customHeight="1">
      <c r="B109" s="74"/>
      <c r="C109" s="667"/>
      <c r="D109" s="666"/>
      <c r="E109" s="666"/>
      <c r="F109" s="666"/>
      <c r="G109" s="666"/>
      <c r="H109" s="665"/>
      <c r="I109" s="665"/>
      <c r="J109" s="665"/>
      <c r="K109" s="665"/>
      <c r="L109" s="670"/>
      <c r="M109" s="58"/>
      <c r="N109" s="59"/>
      <c r="O109" s="60"/>
      <c r="P109" s="61"/>
      <c r="Q109" s="61"/>
      <c r="R109" s="61"/>
      <c r="S109" s="61"/>
      <c r="T109" s="61"/>
      <c r="U109" s="54"/>
    </row>
    <row r="110" spans="2:21" ht="50.25" customHeight="1">
      <c r="B110" s="74"/>
      <c r="C110" s="667"/>
      <c r="D110" s="666"/>
      <c r="E110" s="666"/>
      <c r="F110" s="666"/>
      <c r="G110" s="666"/>
      <c r="H110" s="665"/>
      <c r="I110" s="665"/>
      <c r="J110" s="665"/>
      <c r="K110" s="665"/>
      <c r="L110" s="670"/>
      <c r="M110" s="58"/>
      <c r="N110" s="59"/>
      <c r="O110" s="60"/>
      <c r="P110" s="61"/>
      <c r="Q110" s="61"/>
      <c r="R110" s="61"/>
      <c r="S110" s="61"/>
      <c r="T110" s="61"/>
      <c r="U110" s="54"/>
    </row>
    <row r="111" spans="2:21" ht="50.25" customHeight="1">
      <c r="B111" s="74"/>
      <c r="C111" s="667"/>
      <c r="D111" s="666"/>
      <c r="E111" s="666"/>
      <c r="F111" s="666"/>
      <c r="G111" s="666"/>
      <c r="H111" s="665"/>
      <c r="I111" s="665"/>
      <c r="J111" s="665"/>
      <c r="K111" s="665"/>
      <c r="L111" s="670"/>
      <c r="M111" s="58"/>
      <c r="N111" s="59"/>
      <c r="O111" s="60"/>
      <c r="P111" s="61"/>
      <c r="Q111" s="61"/>
      <c r="R111" s="61"/>
      <c r="S111" s="61"/>
      <c r="T111" s="61"/>
      <c r="U111" s="54"/>
    </row>
    <row r="112" spans="2:21" ht="50.25" customHeight="1">
      <c r="B112" s="74"/>
      <c r="C112" s="667"/>
      <c r="D112" s="666"/>
      <c r="E112" s="666"/>
      <c r="F112" s="666"/>
      <c r="G112" s="666"/>
      <c r="H112" s="665"/>
      <c r="I112" s="665"/>
      <c r="J112" s="665"/>
      <c r="K112" s="665"/>
      <c r="L112" s="670"/>
      <c r="M112" s="58"/>
      <c r="N112" s="59"/>
      <c r="O112" s="60"/>
      <c r="P112" s="61"/>
      <c r="Q112" s="61"/>
      <c r="R112" s="61"/>
      <c r="S112" s="61"/>
      <c r="T112" s="61"/>
      <c r="U112" s="54"/>
    </row>
    <row r="113" spans="2:21" ht="50.25" customHeight="1">
      <c r="B113" s="74"/>
      <c r="C113" s="667"/>
      <c r="D113" s="666"/>
      <c r="E113" s="666"/>
      <c r="F113" s="666"/>
      <c r="G113" s="666"/>
      <c r="H113" s="665"/>
      <c r="I113" s="665"/>
      <c r="J113" s="665"/>
      <c r="K113" s="665"/>
      <c r="L113" s="670"/>
      <c r="M113" s="58"/>
      <c r="N113" s="59"/>
      <c r="O113" s="60"/>
      <c r="P113" s="61"/>
      <c r="Q113" s="61"/>
      <c r="R113" s="61"/>
      <c r="S113" s="61"/>
      <c r="T113" s="61"/>
      <c r="U113" s="54"/>
    </row>
    <row r="114" spans="2:21" ht="50.25" customHeight="1">
      <c r="B114" s="74"/>
      <c r="C114" s="667"/>
      <c r="D114" s="666"/>
      <c r="E114" s="666"/>
      <c r="F114" s="666"/>
      <c r="G114" s="666"/>
      <c r="H114" s="665"/>
      <c r="I114" s="665"/>
      <c r="J114" s="665"/>
      <c r="K114" s="665"/>
      <c r="L114" s="670"/>
      <c r="M114" s="58"/>
      <c r="N114" s="59"/>
      <c r="O114" s="60"/>
      <c r="P114" s="61"/>
      <c r="Q114" s="61"/>
      <c r="R114" s="61"/>
      <c r="S114" s="61"/>
      <c r="T114" s="61"/>
      <c r="U114" s="54"/>
    </row>
    <row r="115" spans="2:21" ht="50.25" customHeight="1">
      <c r="B115" s="74"/>
      <c r="C115" s="667"/>
      <c r="D115" s="666"/>
      <c r="E115" s="666"/>
      <c r="F115" s="666"/>
      <c r="G115" s="666"/>
      <c r="H115" s="665"/>
      <c r="I115" s="665"/>
      <c r="J115" s="665"/>
      <c r="K115" s="665"/>
      <c r="L115" s="670"/>
      <c r="M115" s="58"/>
      <c r="N115" s="59"/>
      <c r="O115" s="60"/>
      <c r="P115" s="61"/>
      <c r="Q115" s="61"/>
      <c r="R115" s="61"/>
      <c r="S115" s="61"/>
      <c r="T115" s="61"/>
      <c r="U115" s="54"/>
    </row>
    <row r="116" spans="2:21" ht="50.25" customHeight="1">
      <c r="B116" s="74"/>
      <c r="C116" s="667"/>
      <c r="D116" s="666"/>
      <c r="E116" s="666"/>
      <c r="F116" s="666"/>
      <c r="G116" s="666"/>
      <c r="H116" s="665"/>
      <c r="I116" s="665"/>
      <c r="J116" s="665"/>
      <c r="K116" s="665"/>
      <c r="L116" s="670"/>
      <c r="M116" s="58"/>
      <c r="N116" s="59"/>
      <c r="O116" s="60"/>
      <c r="P116" s="61"/>
      <c r="Q116" s="61"/>
      <c r="R116" s="61"/>
      <c r="S116" s="61"/>
      <c r="T116" s="61"/>
      <c r="U116" s="54"/>
    </row>
    <row r="117" spans="2:21" ht="50.25" customHeight="1">
      <c r="B117" s="74"/>
      <c r="C117" s="667"/>
      <c r="D117" s="666"/>
      <c r="E117" s="666"/>
      <c r="F117" s="666"/>
      <c r="G117" s="666"/>
      <c r="H117" s="665"/>
      <c r="I117" s="665"/>
      <c r="J117" s="665"/>
      <c r="K117" s="665"/>
      <c r="L117" s="670"/>
      <c r="M117" s="58"/>
      <c r="N117" s="59"/>
      <c r="O117" s="60"/>
      <c r="P117" s="61"/>
      <c r="Q117" s="61"/>
      <c r="R117" s="61"/>
      <c r="S117" s="61"/>
      <c r="T117" s="61"/>
      <c r="U117" s="54"/>
    </row>
    <row r="118" spans="2:21" ht="50.25" customHeight="1">
      <c r="B118" s="74"/>
      <c r="C118" s="667"/>
      <c r="D118" s="666"/>
      <c r="E118" s="666"/>
      <c r="F118" s="666"/>
      <c r="G118" s="666"/>
      <c r="H118" s="665"/>
      <c r="I118" s="665"/>
      <c r="J118" s="665"/>
      <c r="K118" s="665"/>
      <c r="L118" s="670"/>
      <c r="M118" s="58"/>
      <c r="N118" s="59"/>
      <c r="O118" s="60"/>
      <c r="P118" s="61"/>
      <c r="Q118" s="61"/>
      <c r="R118" s="61"/>
      <c r="S118" s="61"/>
      <c r="T118" s="61"/>
      <c r="U118" s="54"/>
    </row>
    <row r="119" spans="2:21" ht="50.25" customHeight="1">
      <c r="B119" s="74"/>
      <c r="C119" s="667"/>
      <c r="D119" s="666"/>
      <c r="E119" s="666"/>
      <c r="F119" s="666"/>
      <c r="G119" s="666"/>
      <c r="H119" s="665"/>
      <c r="I119" s="665"/>
      <c r="J119" s="665"/>
      <c r="K119" s="665"/>
      <c r="L119" s="670"/>
      <c r="M119" s="58"/>
      <c r="N119" s="59"/>
      <c r="O119" s="60"/>
      <c r="P119" s="61"/>
      <c r="Q119" s="61"/>
      <c r="R119" s="61"/>
      <c r="S119" s="61"/>
      <c r="T119" s="61"/>
      <c r="U119" s="54"/>
    </row>
    <row r="120" spans="2:21" ht="50.25" customHeight="1">
      <c r="B120" s="74"/>
      <c r="C120" s="667"/>
      <c r="D120" s="666"/>
      <c r="E120" s="666"/>
      <c r="F120" s="666"/>
      <c r="G120" s="666"/>
      <c r="H120" s="665"/>
      <c r="I120" s="665"/>
      <c r="J120" s="665"/>
      <c r="K120" s="665"/>
      <c r="L120" s="670"/>
      <c r="M120" s="58"/>
      <c r="N120" s="59"/>
      <c r="O120" s="60"/>
      <c r="P120" s="61"/>
      <c r="Q120" s="61"/>
      <c r="R120" s="61"/>
      <c r="S120" s="61"/>
      <c r="T120" s="61"/>
      <c r="U120" s="54"/>
    </row>
    <row r="121" spans="2:21" ht="50.25" customHeight="1">
      <c r="B121" s="74"/>
      <c r="C121" s="667"/>
      <c r="D121" s="666"/>
      <c r="E121" s="666"/>
      <c r="F121" s="666"/>
      <c r="G121" s="666"/>
      <c r="H121" s="665"/>
      <c r="I121" s="665"/>
      <c r="J121" s="665"/>
      <c r="K121" s="665"/>
      <c r="L121" s="670"/>
      <c r="M121" s="58"/>
      <c r="N121" s="59"/>
      <c r="O121" s="60"/>
      <c r="P121" s="61"/>
      <c r="Q121" s="61"/>
      <c r="R121" s="61"/>
      <c r="S121" s="61"/>
      <c r="T121" s="61"/>
      <c r="U121" s="54"/>
    </row>
    <row r="122" spans="2:21" ht="50.25" customHeight="1">
      <c r="B122" s="74"/>
      <c r="C122" s="667"/>
      <c r="D122" s="666"/>
      <c r="E122" s="666"/>
      <c r="F122" s="666"/>
      <c r="G122" s="666"/>
      <c r="H122" s="665"/>
      <c r="I122" s="665"/>
      <c r="J122" s="665"/>
      <c r="K122" s="665"/>
      <c r="L122" s="670"/>
      <c r="M122" s="58"/>
      <c r="N122" s="59"/>
      <c r="O122" s="60"/>
      <c r="P122" s="61"/>
      <c r="Q122" s="61"/>
      <c r="R122" s="61"/>
      <c r="S122" s="61"/>
      <c r="T122" s="61"/>
      <c r="U122" s="54"/>
    </row>
    <row r="123" spans="2:21" ht="50.25" customHeight="1">
      <c r="B123" s="74"/>
      <c r="C123" s="667"/>
      <c r="D123" s="666"/>
      <c r="E123" s="666"/>
      <c r="F123" s="666"/>
      <c r="G123" s="666"/>
      <c r="H123" s="665"/>
      <c r="I123" s="665"/>
      <c r="J123" s="665"/>
      <c r="K123" s="665"/>
      <c r="L123" s="670"/>
      <c r="M123" s="58"/>
      <c r="N123" s="59"/>
      <c r="O123" s="60"/>
      <c r="P123" s="61"/>
      <c r="Q123" s="61"/>
      <c r="R123" s="61"/>
      <c r="S123" s="61"/>
      <c r="T123" s="61"/>
      <c r="U123" s="54"/>
    </row>
    <row r="124" spans="2:21" ht="50.25" customHeight="1">
      <c r="B124" s="74"/>
      <c r="C124" s="667"/>
      <c r="D124" s="666"/>
      <c r="E124" s="666"/>
      <c r="F124" s="666"/>
      <c r="G124" s="666"/>
      <c r="H124" s="665"/>
      <c r="I124" s="665"/>
      <c r="J124" s="665"/>
      <c r="K124" s="665"/>
      <c r="L124" s="670"/>
      <c r="M124" s="58"/>
      <c r="N124" s="59"/>
      <c r="O124" s="60"/>
      <c r="P124" s="61"/>
      <c r="Q124" s="61"/>
      <c r="R124" s="61"/>
      <c r="S124" s="61"/>
      <c r="T124" s="61"/>
      <c r="U124" s="54"/>
    </row>
    <row r="125" spans="2:21" ht="50.25" customHeight="1">
      <c r="B125" s="74"/>
      <c r="C125" s="667"/>
      <c r="D125" s="666"/>
      <c r="E125" s="666"/>
      <c r="F125" s="666"/>
      <c r="G125" s="666"/>
      <c r="H125" s="665"/>
      <c r="I125" s="665"/>
      <c r="J125" s="665"/>
      <c r="K125" s="665"/>
      <c r="L125" s="670"/>
      <c r="M125" s="58"/>
      <c r="N125" s="59"/>
      <c r="O125" s="60"/>
      <c r="P125" s="61"/>
      <c r="Q125" s="61"/>
      <c r="R125" s="61"/>
      <c r="S125" s="61"/>
      <c r="T125" s="61"/>
      <c r="U125" s="54"/>
    </row>
    <row r="126" spans="2:21" ht="50.25" customHeight="1">
      <c r="B126" s="74"/>
      <c r="C126" s="667"/>
      <c r="D126" s="666"/>
      <c r="E126" s="666"/>
      <c r="F126" s="666"/>
      <c r="G126" s="666"/>
      <c r="H126" s="665"/>
      <c r="I126" s="665"/>
      <c r="J126" s="665"/>
      <c r="K126" s="665"/>
      <c r="L126" s="670"/>
      <c r="M126" s="58"/>
      <c r="N126" s="59"/>
      <c r="O126" s="60"/>
      <c r="P126" s="61"/>
      <c r="Q126" s="61"/>
      <c r="R126" s="61"/>
      <c r="S126" s="61"/>
      <c r="T126" s="61"/>
      <c r="U126" s="54"/>
    </row>
    <row r="127" spans="2:21" ht="50.25" customHeight="1">
      <c r="B127" s="74"/>
      <c r="C127" s="667"/>
      <c r="D127" s="666"/>
      <c r="E127" s="666"/>
      <c r="F127" s="666"/>
      <c r="G127" s="666"/>
      <c r="H127" s="665"/>
      <c r="I127" s="665"/>
      <c r="J127" s="665"/>
      <c r="K127" s="665"/>
      <c r="L127" s="670"/>
      <c r="M127" s="58"/>
      <c r="N127" s="59"/>
      <c r="O127" s="60"/>
      <c r="P127" s="61"/>
      <c r="Q127" s="61"/>
      <c r="R127" s="61"/>
      <c r="S127" s="61"/>
      <c r="T127" s="61"/>
      <c r="U127" s="54"/>
    </row>
    <row r="128" spans="2:21" ht="50.25" customHeight="1">
      <c r="B128" s="74"/>
      <c r="C128" s="667"/>
      <c r="D128" s="666"/>
      <c r="E128" s="666"/>
      <c r="F128" s="666"/>
      <c r="G128" s="666"/>
      <c r="H128" s="665"/>
      <c r="I128" s="665"/>
      <c r="J128" s="665"/>
      <c r="K128" s="665"/>
      <c r="L128" s="670"/>
      <c r="M128" s="58"/>
      <c r="N128" s="59"/>
      <c r="O128" s="60"/>
      <c r="P128" s="61"/>
      <c r="Q128" s="61"/>
      <c r="R128" s="61"/>
      <c r="S128" s="61"/>
      <c r="T128" s="61"/>
      <c r="U128" s="54"/>
    </row>
    <row r="129" spans="2:21" ht="50.25" customHeight="1">
      <c r="B129" s="74"/>
      <c r="C129" s="667"/>
      <c r="D129" s="666"/>
      <c r="E129" s="666"/>
      <c r="F129" s="666"/>
      <c r="G129" s="666"/>
      <c r="H129" s="665"/>
      <c r="I129" s="665"/>
      <c r="J129" s="665"/>
      <c r="K129" s="665"/>
      <c r="L129" s="670"/>
      <c r="M129" s="58"/>
      <c r="N129" s="59"/>
      <c r="O129" s="60"/>
      <c r="P129" s="61"/>
      <c r="Q129" s="61"/>
      <c r="R129" s="61"/>
      <c r="S129" s="61"/>
      <c r="T129" s="61"/>
      <c r="U129" s="54"/>
    </row>
    <row r="130" spans="2:21" ht="50.25" customHeight="1">
      <c r="B130" s="74"/>
      <c r="C130" s="667"/>
      <c r="D130" s="666"/>
      <c r="E130" s="666"/>
      <c r="F130" s="666"/>
      <c r="G130" s="666"/>
      <c r="H130" s="665"/>
      <c r="I130" s="665"/>
      <c r="J130" s="665"/>
      <c r="K130" s="665"/>
      <c r="L130" s="670"/>
      <c r="M130" s="58"/>
      <c r="N130" s="59"/>
      <c r="O130" s="60"/>
      <c r="P130" s="61"/>
      <c r="Q130" s="61"/>
      <c r="R130" s="61"/>
      <c r="S130" s="61"/>
      <c r="T130" s="61"/>
      <c r="U130" s="54"/>
    </row>
    <row r="131" spans="2:21" ht="50.25" customHeight="1">
      <c r="B131" s="74"/>
      <c r="C131" s="667"/>
      <c r="D131" s="666"/>
      <c r="E131" s="666"/>
      <c r="F131" s="666"/>
      <c r="G131" s="666"/>
      <c r="H131" s="665"/>
      <c r="I131" s="665"/>
      <c r="J131" s="665"/>
      <c r="K131" s="665"/>
      <c r="L131" s="670"/>
      <c r="M131" s="58"/>
      <c r="N131" s="59"/>
      <c r="O131" s="60"/>
      <c r="P131" s="61"/>
      <c r="Q131" s="61"/>
      <c r="R131" s="61"/>
      <c r="S131" s="61"/>
      <c r="T131" s="61"/>
      <c r="U131" s="54"/>
    </row>
    <row r="132" spans="2:21" ht="50.25" customHeight="1">
      <c r="B132" s="74"/>
      <c r="C132" s="667"/>
      <c r="D132" s="666"/>
      <c r="E132" s="666"/>
      <c r="F132" s="666"/>
      <c r="G132" s="666"/>
      <c r="H132" s="665"/>
      <c r="I132" s="665"/>
      <c r="J132" s="665"/>
      <c r="K132" s="665"/>
      <c r="L132" s="670"/>
      <c r="M132" s="58"/>
      <c r="N132" s="59"/>
      <c r="O132" s="60"/>
      <c r="P132" s="61"/>
      <c r="Q132" s="61"/>
      <c r="R132" s="61"/>
      <c r="S132" s="61"/>
      <c r="T132" s="61"/>
      <c r="U132" s="54"/>
    </row>
    <row r="133" spans="2:21" ht="50.25" customHeight="1">
      <c r="B133" s="74"/>
      <c r="C133" s="667"/>
      <c r="D133" s="666"/>
      <c r="E133" s="666"/>
      <c r="F133" s="666"/>
      <c r="G133" s="666"/>
      <c r="H133" s="665"/>
      <c r="I133" s="665"/>
      <c r="J133" s="665"/>
      <c r="K133" s="665"/>
      <c r="L133" s="670"/>
      <c r="M133" s="58"/>
      <c r="N133" s="59"/>
      <c r="O133" s="60"/>
      <c r="P133" s="61"/>
      <c r="Q133" s="61"/>
      <c r="R133" s="61"/>
      <c r="S133" s="61"/>
      <c r="T133" s="61"/>
      <c r="U133" s="54"/>
    </row>
    <row r="134" spans="2:21" ht="50.25" customHeight="1">
      <c r="B134" s="74"/>
      <c r="C134" s="667"/>
      <c r="D134" s="666"/>
      <c r="E134" s="666"/>
      <c r="F134" s="666"/>
      <c r="G134" s="666"/>
      <c r="H134" s="665"/>
      <c r="I134" s="665"/>
      <c r="J134" s="665"/>
      <c r="K134" s="665"/>
      <c r="L134" s="670"/>
      <c r="M134" s="58"/>
      <c r="N134" s="59"/>
      <c r="O134" s="60"/>
      <c r="P134" s="61"/>
      <c r="Q134" s="61"/>
      <c r="R134" s="61"/>
      <c r="S134" s="61"/>
      <c r="T134" s="61"/>
      <c r="U134" s="54"/>
    </row>
    <row r="135" spans="2:21" ht="50.25" customHeight="1">
      <c r="B135" s="74"/>
      <c r="C135" s="667"/>
      <c r="D135" s="666"/>
      <c r="E135" s="666"/>
      <c r="F135" s="666"/>
      <c r="G135" s="666"/>
      <c r="H135" s="665"/>
      <c r="I135" s="665"/>
      <c r="J135" s="665"/>
      <c r="K135" s="665"/>
      <c r="L135" s="670"/>
      <c r="M135" s="58"/>
      <c r="N135" s="59"/>
      <c r="O135" s="60"/>
      <c r="P135" s="61"/>
      <c r="Q135" s="61"/>
      <c r="R135" s="61"/>
      <c r="S135" s="61"/>
      <c r="T135" s="61"/>
      <c r="U135" s="54"/>
    </row>
    <row r="136" spans="2:21" ht="50.25" customHeight="1">
      <c r="B136" s="74"/>
      <c r="C136" s="667"/>
      <c r="D136" s="666"/>
      <c r="E136" s="666"/>
      <c r="F136" s="666"/>
      <c r="G136" s="666"/>
      <c r="H136" s="665"/>
      <c r="I136" s="665"/>
      <c r="J136" s="665"/>
      <c r="K136" s="665"/>
      <c r="L136" s="670"/>
      <c r="M136" s="58"/>
      <c r="N136" s="59"/>
      <c r="O136" s="60"/>
      <c r="P136" s="61"/>
      <c r="Q136" s="61"/>
      <c r="R136" s="61"/>
      <c r="S136" s="61"/>
      <c r="T136" s="61"/>
      <c r="U136" s="54"/>
    </row>
    <row r="137" spans="2:21" ht="50.25" customHeight="1">
      <c r="B137" s="74"/>
      <c r="C137" s="667"/>
      <c r="D137" s="666"/>
      <c r="E137" s="666"/>
      <c r="F137" s="666"/>
      <c r="G137" s="666"/>
      <c r="H137" s="665"/>
      <c r="I137" s="665"/>
      <c r="J137" s="665"/>
      <c r="K137" s="665"/>
      <c r="L137" s="670"/>
      <c r="M137" s="58"/>
      <c r="N137" s="59"/>
      <c r="O137" s="60"/>
      <c r="P137" s="61"/>
      <c r="Q137" s="61"/>
      <c r="R137" s="61"/>
      <c r="S137" s="61"/>
      <c r="T137" s="61"/>
      <c r="U137" s="54"/>
    </row>
    <row r="138" spans="2:21" ht="50.25" customHeight="1">
      <c r="B138" s="74"/>
      <c r="C138" s="667"/>
      <c r="D138" s="666"/>
      <c r="E138" s="666"/>
      <c r="F138" s="666"/>
      <c r="G138" s="666"/>
      <c r="H138" s="665"/>
      <c r="I138" s="665"/>
      <c r="J138" s="665"/>
      <c r="K138" s="665"/>
      <c r="L138" s="670"/>
      <c r="M138" s="58"/>
      <c r="N138" s="59"/>
      <c r="O138" s="60"/>
      <c r="P138" s="61"/>
      <c r="Q138" s="61"/>
      <c r="R138" s="61"/>
      <c r="S138" s="61"/>
      <c r="T138" s="61"/>
      <c r="U138" s="54"/>
    </row>
    <row r="139" spans="2:21" ht="50.25" customHeight="1">
      <c r="B139" s="74"/>
      <c r="C139" s="667"/>
      <c r="D139" s="666"/>
      <c r="E139" s="666"/>
      <c r="F139" s="666"/>
      <c r="G139" s="666"/>
      <c r="H139" s="665"/>
      <c r="I139" s="665"/>
      <c r="J139" s="665"/>
      <c r="K139" s="665"/>
      <c r="L139" s="670"/>
      <c r="M139" s="58"/>
      <c r="N139" s="59"/>
      <c r="O139" s="60"/>
      <c r="P139" s="61"/>
      <c r="Q139" s="61"/>
      <c r="R139" s="61"/>
      <c r="S139" s="61"/>
      <c r="T139" s="61"/>
      <c r="U139" s="54"/>
    </row>
    <row r="140" spans="2:21" ht="50.25" customHeight="1">
      <c r="B140" s="74"/>
      <c r="C140" s="667"/>
      <c r="D140" s="666"/>
      <c r="E140" s="666"/>
      <c r="F140" s="666"/>
      <c r="G140" s="666"/>
      <c r="H140" s="665"/>
      <c r="I140" s="665"/>
      <c r="J140" s="665"/>
      <c r="K140" s="665"/>
      <c r="L140" s="670"/>
      <c r="M140" s="58"/>
      <c r="N140" s="59"/>
      <c r="O140" s="60"/>
      <c r="P140" s="61"/>
      <c r="Q140" s="61"/>
      <c r="R140" s="61"/>
      <c r="S140" s="61"/>
      <c r="T140" s="61"/>
      <c r="U140" s="54"/>
    </row>
    <row r="141" spans="2:21" ht="50.25" customHeight="1">
      <c r="B141" s="74"/>
      <c r="C141" s="667"/>
      <c r="D141" s="666"/>
      <c r="E141" s="666"/>
      <c r="F141" s="666"/>
      <c r="G141" s="666"/>
      <c r="H141" s="665"/>
      <c r="I141" s="665"/>
      <c r="J141" s="665"/>
      <c r="K141" s="665"/>
      <c r="L141" s="670"/>
      <c r="M141" s="58"/>
      <c r="N141" s="59"/>
      <c r="O141" s="60"/>
      <c r="P141" s="61"/>
      <c r="Q141" s="61"/>
      <c r="R141" s="61"/>
      <c r="S141" s="61"/>
      <c r="T141" s="61"/>
      <c r="U141" s="54"/>
    </row>
    <row r="142" spans="2:21" ht="50.25" customHeight="1">
      <c r="B142" s="74"/>
      <c r="C142" s="667"/>
      <c r="D142" s="666"/>
      <c r="E142" s="666"/>
      <c r="F142" s="666"/>
      <c r="G142" s="666"/>
      <c r="H142" s="665"/>
      <c r="I142" s="665"/>
      <c r="J142" s="665"/>
      <c r="K142" s="665"/>
      <c r="L142" s="670"/>
      <c r="M142" s="58"/>
      <c r="N142" s="59"/>
      <c r="O142" s="60"/>
      <c r="P142" s="61"/>
      <c r="Q142" s="61"/>
      <c r="R142" s="61"/>
      <c r="S142" s="61"/>
      <c r="T142" s="61"/>
      <c r="U142" s="54"/>
    </row>
    <row r="143" spans="2:21" ht="50.25" customHeight="1">
      <c r="B143" s="74"/>
      <c r="C143" s="667"/>
      <c r="D143" s="666"/>
      <c r="E143" s="666"/>
      <c r="F143" s="666"/>
      <c r="G143" s="666"/>
      <c r="H143" s="665"/>
      <c r="I143" s="665"/>
      <c r="J143" s="665"/>
      <c r="K143" s="665"/>
      <c r="L143" s="670"/>
      <c r="M143" s="58"/>
      <c r="N143" s="59"/>
      <c r="O143" s="60"/>
      <c r="P143" s="61"/>
      <c r="Q143" s="61"/>
      <c r="R143" s="61"/>
      <c r="S143" s="61"/>
      <c r="T143" s="61"/>
      <c r="U143" s="54"/>
    </row>
    <row r="144" spans="2:21" ht="50.25" customHeight="1">
      <c r="B144" s="74"/>
      <c r="C144" s="667"/>
      <c r="D144" s="666"/>
      <c r="E144" s="666"/>
      <c r="F144" s="666"/>
      <c r="G144" s="666"/>
      <c r="H144" s="665"/>
      <c r="I144" s="665"/>
      <c r="J144" s="665"/>
      <c r="K144" s="665"/>
      <c r="L144" s="670"/>
      <c r="M144" s="58"/>
      <c r="N144" s="59"/>
      <c r="O144" s="60"/>
      <c r="P144" s="61"/>
      <c r="Q144" s="61"/>
      <c r="R144" s="61"/>
      <c r="S144" s="61"/>
      <c r="T144" s="61"/>
      <c r="U144" s="54"/>
    </row>
    <row r="145" spans="2:21" ht="50.25" customHeight="1">
      <c r="B145" s="74"/>
      <c r="C145" s="667"/>
      <c r="D145" s="666"/>
      <c r="E145" s="666"/>
      <c r="F145" s="666"/>
      <c r="G145" s="666"/>
      <c r="H145" s="665"/>
      <c r="I145" s="665"/>
      <c r="J145" s="665"/>
      <c r="K145" s="665"/>
      <c r="L145" s="670"/>
      <c r="M145" s="58"/>
      <c r="N145" s="59"/>
      <c r="O145" s="60"/>
      <c r="P145" s="61"/>
      <c r="Q145" s="61"/>
      <c r="R145" s="61"/>
      <c r="S145" s="61"/>
      <c r="T145" s="61"/>
      <c r="U145" s="54"/>
    </row>
    <row r="146" spans="2:21" ht="50.25" customHeight="1">
      <c r="B146" s="74"/>
      <c r="C146" s="667"/>
      <c r="D146" s="666"/>
      <c r="E146" s="666"/>
      <c r="F146" s="666"/>
      <c r="G146" s="666"/>
      <c r="H146" s="665"/>
      <c r="I146" s="665"/>
      <c r="J146" s="665"/>
      <c r="K146" s="665"/>
      <c r="L146" s="670"/>
      <c r="M146" s="58"/>
      <c r="N146" s="59"/>
      <c r="O146" s="60"/>
      <c r="P146" s="61"/>
      <c r="Q146" s="61"/>
      <c r="R146" s="61"/>
      <c r="S146" s="61"/>
      <c r="T146" s="61"/>
      <c r="U146" s="54"/>
    </row>
    <row r="147" spans="2:21" ht="50.25" customHeight="1">
      <c r="B147" s="74"/>
      <c r="C147" s="667"/>
      <c r="D147" s="666"/>
      <c r="E147" s="666"/>
      <c r="F147" s="666"/>
      <c r="G147" s="666"/>
      <c r="H147" s="665"/>
      <c r="I147" s="665"/>
      <c r="J147" s="665"/>
      <c r="K147" s="665"/>
      <c r="L147" s="670"/>
      <c r="M147" s="58"/>
      <c r="N147" s="59"/>
      <c r="O147" s="60"/>
      <c r="P147" s="61"/>
      <c r="Q147" s="61"/>
      <c r="R147" s="61"/>
      <c r="S147" s="61"/>
      <c r="T147" s="61"/>
      <c r="U147" s="54"/>
    </row>
    <row r="148" spans="2:21" ht="50.25" customHeight="1">
      <c r="B148" s="74"/>
      <c r="C148" s="667"/>
      <c r="D148" s="666"/>
      <c r="E148" s="666"/>
      <c r="F148" s="666"/>
      <c r="G148" s="666"/>
      <c r="H148" s="665"/>
      <c r="I148" s="665"/>
      <c r="J148" s="665"/>
      <c r="K148" s="665"/>
      <c r="L148" s="670"/>
      <c r="M148" s="58"/>
      <c r="N148" s="59"/>
      <c r="O148" s="60"/>
      <c r="P148" s="61"/>
      <c r="Q148" s="61"/>
      <c r="R148" s="61"/>
      <c r="S148" s="61"/>
      <c r="T148" s="61"/>
      <c r="U148" s="54"/>
    </row>
    <row r="149" spans="2:21" ht="50.25" customHeight="1">
      <c r="B149" s="74"/>
      <c r="C149" s="667"/>
      <c r="D149" s="666"/>
      <c r="E149" s="666"/>
      <c r="F149" s="666"/>
      <c r="G149" s="666"/>
      <c r="H149" s="665"/>
      <c r="I149" s="665"/>
      <c r="J149" s="665"/>
      <c r="K149" s="665"/>
      <c r="L149" s="670"/>
      <c r="M149" s="58"/>
      <c r="N149" s="59"/>
      <c r="O149" s="60"/>
      <c r="P149" s="61"/>
      <c r="Q149" s="61"/>
      <c r="R149" s="61"/>
      <c r="S149" s="61"/>
      <c r="T149" s="61"/>
      <c r="U149" s="54"/>
    </row>
    <row r="150" spans="2:21" ht="50.25" customHeight="1">
      <c r="B150" s="74"/>
      <c r="C150" s="667"/>
      <c r="D150" s="666"/>
      <c r="E150" s="666"/>
      <c r="F150" s="666"/>
      <c r="G150" s="666"/>
      <c r="H150" s="665"/>
      <c r="I150" s="665"/>
      <c r="J150" s="665"/>
      <c r="K150" s="665"/>
      <c r="L150" s="670"/>
      <c r="M150" s="58"/>
      <c r="N150" s="59"/>
      <c r="O150" s="60"/>
      <c r="P150" s="61"/>
      <c r="Q150" s="61"/>
      <c r="R150" s="61"/>
      <c r="S150" s="61"/>
      <c r="T150" s="61"/>
      <c r="U150" s="54"/>
    </row>
    <row r="151" spans="2:21" ht="50.25" customHeight="1">
      <c r="B151" s="74"/>
      <c r="C151" s="667"/>
      <c r="D151" s="666"/>
      <c r="E151" s="666"/>
      <c r="F151" s="666"/>
      <c r="G151" s="666"/>
      <c r="H151" s="665"/>
      <c r="I151" s="665"/>
      <c r="J151" s="665"/>
      <c r="K151" s="665"/>
      <c r="L151" s="670"/>
      <c r="M151" s="58"/>
      <c r="N151" s="59"/>
      <c r="O151" s="60"/>
      <c r="P151" s="61"/>
      <c r="Q151" s="61"/>
      <c r="R151" s="61"/>
      <c r="S151" s="61"/>
      <c r="T151" s="61"/>
      <c r="U151" s="54"/>
    </row>
    <row r="152" spans="2:21" ht="50.25" customHeight="1">
      <c r="B152" s="74"/>
      <c r="C152" s="667"/>
      <c r="D152" s="666"/>
      <c r="E152" s="666"/>
      <c r="F152" s="666"/>
      <c r="G152" s="666"/>
      <c r="H152" s="665"/>
      <c r="I152" s="665"/>
      <c r="J152" s="665"/>
      <c r="K152" s="665"/>
      <c r="L152" s="670"/>
      <c r="M152" s="58"/>
      <c r="N152" s="59"/>
      <c r="O152" s="60"/>
      <c r="P152" s="61"/>
      <c r="Q152" s="61"/>
      <c r="R152" s="61"/>
      <c r="S152" s="61"/>
      <c r="T152" s="61"/>
      <c r="U152" s="54"/>
    </row>
    <row r="153" spans="2:21" ht="50.25" customHeight="1">
      <c r="B153" s="74"/>
      <c r="C153" s="667"/>
      <c r="D153" s="666"/>
      <c r="E153" s="666"/>
      <c r="F153" s="666"/>
      <c r="G153" s="666"/>
      <c r="H153" s="665"/>
      <c r="I153" s="665"/>
      <c r="J153" s="665"/>
      <c r="K153" s="665"/>
      <c r="L153" s="670"/>
      <c r="M153" s="58"/>
      <c r="N153" s="59"/>
      <c r="O153" s="60"/>
      <c r="P153" s="61"/>
      <c r="Q153" s="61"/>
      <c r="R153" s="61"/>
      <c r="S153" s="61"/>
      <c r="T153" s="61"/>
      <c r="U153" s="54"/>
    </row>
    <row r="154" spans="2:21" ht="50.25" customHeight="1">
      <c r="B154" s="74"/>
      <c r="C154" s="667"/>
      <c r="D154" s="666"/>
      <c r="E154" s="666"/>
      <c r="F154" s="666"/>
      <c r="G154" s="666"/>
      <c r="H154" s="665"/>
      <c r="I154" s="665"/>
      <c r="J154" s="665"/>
      <c r="K154" s="665"/>
      <c r="L154" s="670"/>
      <c r="M154" s="58"/>
      <c r="N154" s="59"/>
      <c r="O154" s="60"/>
      <c r="P154" s="61"/>
      <c r="Q154" s="61"/>
      <c r="R154" s="61"/>
      <c r="S154" s="61"/>
      <c r="T154" s="61"/>
      <c r="U154" s="54"/>
    </row>
    <row r="155" spans="2:21" ht="50.25" customHeight="1">
      <c r="B155" s="74"/>
      <c r="C155" s="667"/>
      <c r="D155" s="666"/>
      <c r="E155" s="666"/>
      <c r="F155" s="666"/>
      <c r="G155" s="666"/>
      <c r="H155" s="665"/>
      <c r="I155" s="665"/>
      <c r="J155" s="665"/>
      <c r="K155" s="665"/>
      <c r="L155" s="670"/>
      <c r="M155" s="58"/>
      <c r="N155" s="59"/>
      <c r="O155" s="60"/>
      <c r="P155" s="61"/>
      <c r="Q155" s="61"/>
      <c r="R155" s="61"/>
      <c r="S155" s="61"/>
      <c r="T155" s="61"/>
      <c r="U155" s="54"/>
    </row>
    <row r="156" spans="2:21" ht="50.25" customHeight="1">
      <c r="B156" s="74"/>
      <c r="C156" s="667"/>
      <c r="D156" s="666"/>
      <c r="E156" s="666"/>
      <c r="F156" s="666"/>
      <c r="G156" s="666"/>
      <c r="H156" s="665"/>
      <c r="I156" s="665"/>
      <c r="J156" s="665"/>
      <c r="K156" s="665"/>
      <c r="L156" s="670"/>
      <c r="M156" s="58"/>
      <c r="N156" s="59"/>
      <c r="O156" s="60"/>
      <c r="P156" s="61"/>
      <c r="Q156" s="61"/>
      <c r="R156" s="61"/>
      <c r="S156" s="61"/>
      <c r="T156" s="61"/>
      <c r="U156" s="54"/>
    </row>
    <row r="157" spans="2:21" ht="50.25" customHeight="1">
      <c r="B157" s="74"/>
      <c r="C157" s="667"/>
      <c r="D157" s="666"/>
      <c r="E157" s="666"/>
      <c r="F157" s="666"/>
      <c r="G157" s="666"/>
      <c r="H157" s="665"/>
      <c r="I157" s="665"/>
      <c r="J157" s="665"/>
      <c r="K157" s="665"/>
      <c r="L157" s="670"/>
      <c r="M157" s="58"/>
      <c r="N157" s="59"/>
      <c r="O157" s="60"/>
      <c r="P157" s="61"/>
      <c r="Q157" s="61"/>
      <c r="R157" s="61"/>
      <c r="S157" s="61"/>
      <c r="T157" s="61"/>
      <c r="U157" s="54"/>
    </row>
    <row r="158" spans="2:21" ht="50.25" customHeight="1">
      <c r="B158" s="74"/>
      <c r="C158" s="667"/>
      <c r="D158" s="666"/>
      <c r="E158" s="666"/>
      <c r="F158" s="666"/>
      <c r="G158" s="666"/>
      <c r="H158" s="665"/>
      <c r="I158" s="665"/>
      <c r="J158" s="665"/>
      <c r="K158" s="665"/>
      <c r="L158" s="670"/>
      <c r="M158" s="58"/>
      <c r="N158" s="59"/>
      <c r="O158" s="60"/>
      <c r="P158" s="61"/>
      <c r="Q158" s="61"/>
      <c r="R158" s="61"/>
      <c r="S158" s="61"/>
      <c r="T158" s="61"/>
      <c r="U158" s="54"/>
    </row>
    <row r="159" spans="2:21" ht="50.25" customHeight="1">
      <c r="B159" s="74"/>
      <c r="C159" s="667"/>
      <c r="D159" s="666"/>
      <c r="E159" s="666"/>
      <c r="F159" s="666"/>
      <c r="G159" s="666"/>
      <c r="H159" s="665"/>
      <c r="I159" s="665"/>
      <c r="J159" s="665"/>
      <c r="K159" s="665"/>
      <c r="L159" s="670"/>
      <c r="M159" s="58"/>
      <c r="N159" s="59"/>
      <c r="O159" s="60"/>
      <c r="P159" s="61"/>
      <c r="Q159" s="61"/>
      <c r="R159" s="61"/>
      <c r="S159" s="61"/>
      <c r="T159" s="61"/>
      <c r="U159" s="54"/>
    </row>
    <row r="160" spans="2:21" ht="50.25" customHeight="1">
      <c r="B160" s="74"/>
      <c r="C160" s="667"/>
      <c r="D160" s="666"/>
      <c r="E160" s="666"/>
      <c r="F160" s="666"/>
      <c r="G160" s="666"/>
      <c r="H160" s="665"/>
      <c r="I160" s="665"/>
      <c r="J160" s="665"/>
      <c r="K160" s="665"/>
      <c r="L160" s="670"/>
      <c r="M160" s="58"/>
      <c r="N160" s="59"/>
      <c r="O160" s="60"/>
      <c r="P160" s="61"/>
      <c r="Q160" s="61"/>
      <c r="R160" s="61"/>
      <c r="S160" s="61"/>
      <c r="T160" s="61"/>
      <c r="U160" s="54"/>
    </row>
    <row r="161" spans="2:21" ht="50.25" customHeight="1">
      <c r="B161" s="74"/>
      <c r="C161" s="667"/>
      <c r="D161" s="666"/>
      <c r="E161" s="666"/>
      <c r="F161" s="666"/>
      <c r="G161" s="666"/>
      <c r="H161" s="665"/>
      <c r="I161" s="665"/>
      <c r="J161" s="665"/>
      <c r="K161" s="665"/>
      <c r="L161" s="670"/>
      <c r="M161" s="58"/>
      <c r="N161" s="59"/>
      <c r="O161" s="60"/>
      <c r="P161" s="61"/>
      <c r="Q161" s="61"/>
      <c r="R161" s="61"/>
      <c r="S161" s="61"/>
      <c r="T161" s="61"/>
      <c r="U161" s="54"/>
    </row>
    <row r="162" spans="2:21" ht="50.25" customHeight="1">
      <c r="B162" s="74"/>
      <c r="C162" s="667"/>
      <c r="D162" s="666"/>
      <c r="E162" s="666"/>
      <c r="F162" s="666"/>
      <c r="G162" s="666"/>
      <c r="H162" s="665"/>
      <c r="I162" s="665"/>
      <c r="J162" s="665"/>
      <c r="K162" s="665"/>
      <c r="L162" s="670"/>
      <c r="M162" s="58"/>
      <c r="N162" s="59"/>
      <c r="O162" s="60"/>
      <c r="P162" s="61"/>
      <c r="Q162" s="61"/>
      <c r="R162" s="61"/>
      <c r="S162" s="61"/>
      <c r="T162" s="61"/>
      <c r="U162" s="54"/>
    </row>
    <row r="163" spans="2:21" ht="50.25" customHeight="1">
      <c r="B163" s="74"/>
      <c r="C163" s="667"/>
      <c r="D163" s="666"/>
      <c r="E163" s="666"/>
      <c r="F163" s="666"/>
      <c r="G163" s="666"/>
      <c r="H163" s="665"/>
      <c r="I163" s="665"/>
      <c r="J163" s="665"/>
      <c r="K163" s="665"/>
      <c r="L163" s="670"/>
      <c r="M163" s="58"/>
      <c r="N163" s="59"/>
      <c r="O163" s="60"/>
      <c r="P163" s="61"/>
      <c r="Q163" s="61"/>
      <c r="R163" s="61"/>
      <c r="S163" s="61"/>
      <c r="T163" s="61"/>
      <c r="U163" s="54"/>
    </row>
    <row r="164" spans="2:21" ht="50.25" customHeight="1">
      <c r="B164" s="74"/>
      <c r="C164" s="667"/>
      <c r="D164" s="666"/>
      <c r="E164" s="666"/>
      <c r="F164" s="666"/>
      <c r="G164" s="666"/>
      <c r="H164" s="665"/>
      <c r="I164" s="665"/>
      <c r="J164" s="665"/>
      <c r="K164" s="665"/>
      <c r="L164" s="670"/>
      <c r="M164" s="58"/>
      <c r="N164" s="59"/>
      <c r="O164" s="60"/>
      <c r="P164" s="61"/>
      <c r="Q164" s="61"/>
      <c r="R164" s="61"/>
      <c r="S164" s="61"/>
      <c r="T164" s="61"/>
      <c r="U164" s="54"/>
    </row>
    <row r="165" spans="2:21" ht="50.25" customHeight="1">
      <c r="B165" s="74"/>
      <c r="C165" s="667"/>
      <c r="D165" s="666"/>
      <c r="E165" s="666"/>
      <c r="F165" s="666"/>
      <c r="G165" s="666"/>
      <c r="H165" s="665"/>
      <c r="I165" s="665"/>
      <c r="J165" s="665"/>
      <c r="K165" s="665"/>
      <c r="L165" s="670"/>
      <c r="M165" s="58"/>
      <c r="N165" s="59"/>
      <c r="O165" s="60"/>
      <c r="P165" s="61"/>
      <c r="Q165" s="61"/>
      <c r="R165" s="61"/>
      <c r="S165" s="61"/>
      <c r="T165" s="61"/>
      <c r="U165" s="54"/>
    </row>
    <row r="166" spans="2:21" ht="50.25" customHeight="1">
      <c r="B166" s="74"/>
      <c r="C166" s="667"/>
      <c r="D166" s="666"/>
      <c r="E166" s="666"/>
      <c r="F166" s="666"/>
      <c r="G166" s="666"/>
      <c r="H166" s="665"/>
      <c r="I166" s="665"/>
      <c r="J166" s="665"/>
      <c r="K166" s="665"/>
      <c r="L166" s="670"/>
      <c r="M166" s="58"/>
      <c r="N166" s="59"/>
      <c r="O166" s="60"/>
      <c r="P166" s="61"/>
      <c r="Q166" s="61"/>
      <c r="R166" s="61"/>
      <c r="S166" s="61"/>
      <c r="T166" s="61"/>
      <c r="U166" s="54"/>
    </row>
    <row r="167" spans="2:21" ht="50.25" customHeight="1">
      <c r="B167" s="74"/>
      <c r="C167" s="667"/>
      <c r="D167" s="666"/>
      <c r="E167" s="666"/>
      <c r="F167" s="666"/>
      <c r="G167" s="666"/>
      <c r="H167" s="665"/>
      <c r="I167" s="665"/>
      <c r="J167" s="665"/>
      <c r="K167" s="665"/>
      <c r="L167" s="670"/>
      <c r="M167" s="58"/>
      <c r="N167" s="59"/>
      <c r="O167" s="60"/>
      <c r="P167" s="61"/>
      <c r="Q167" s="61"/>
      <c r="R167" s="61"/>
      <c r="S167" s="61"/>
      <c r="T167" s="61"/>
      <c r="U167" s="54"/>
    </row>
    <row r="168" spans="2:21" ht="50.25" customHeight="1">
      <c r="B168" s="74"/>
      <c r="C168" s="667"/>
      <c r="D168" s="666"/>
      <c r="E168" s="666"/>
      <c r="F168" s="666"/>
      <c r="G168" s="666"/>
      <c r="H168" s="665"/>
      <c r="I168" s="665"/>
      <c r="J168" s="665"/>
      <c r="K168" s="665"/>
      <c r="L168" s="670"/>
      <c r="M168" s="58"/>
      <c r="N168" s="59"/>
      <c r="O168" s="60"/>
      <c r="P168" s="61"/>
      <c r="Q168" s="61"/>
      <c r="R168" s="61"/>
      <c r="S168" s="61"/>
      <c r="T168" s="61"/>
      <c r="U168" s="54"/>
    </row>
    <row r="169" spans="2:21" ht="50.25" customHeight="1">
      <c r="B169" s="74"/>
      <c r="C169" s="667"/>
      <c r="D169" s="666"/>
      <c r="E169" s="666"/>
      <c r="F169" s="666"/>
      <c r="G169" s="666"/>
      <c r="H169" s="665"/>
      <c r="I169" s="665"/>
      <c r="J169" s="665"/>
      <c r="K169" s="665"/>
      <c r="L169" s="670"/>
      <c r="M169" s="58"/>
      <c r="N169" s="59"/>
      <c r="O169" s="60"/>
      <c r="P169" s="61"/>
      <c r="Q169" s="61"/>
      <c r="R169" s="61"/>
      <c r="S169" s="61"/>
      <c r="T169" s="61"/>
      <c r="U169" s="54"/>
    </row>
    <row r="170" spans="2:21" ht="50.25" customHeight="1">
      <c r="B170" s="74"/>
      <c r="C170" s="667"/>
      <c r="D170" s="666"/>
      <c r="E170" s="666"/>
      <c r="F170" s="666"/>
      <c r="G170" s="666"/>
      <c r="H170" s="665"/>
      <c r="I170" s="665"/>
      <c r="J170" s="665"/>
      <c r="K170" s="665"/>
      <c r="L170" s="670"/>
      <c r="M170" s="58"/>
      <c r="N170" s="59"/>
      <c r="O170" s="60"/>
      <c r="P170" s="61"/>
      <c r="Q170" s="61"/>
      <c r="R170" s="61"/>
      <c r="S170" s="61"/>
      <c r="T170" s="61"/>
      <c r="U170" s="54"/>
    </row>
    <row r="171" spans="2:21" ht="50.25" customHeight="1">
      <c r="B171" s="74"/>
      <c r="C171" s="667"/>
      <c r="D171" s="666"/>
      <c r="E171" s="666"/>
      <c r="F171" s="666"/>
      <c r="G171" s="666"/>
      <c r="H171" s="665"/>
      <c r="I171" s="665"/>
      <c r="J171" s="665"/>
      <c r="K171" s="665"/>
      <c r="L171" s="670"/>
      <c r="M171" s="58"/>
      <c r="N171" s="59"/>
      <c r="O171" s="60"/>
      <c r="P171" s="61"/>
      <c r="Q171" s="61"/>
      <c r="R171" s="61"/>
      <c r="S171" s="61"/>
      <c r="T171" s="61"/>
      <c r="U171" s="54"/>
    </row>
    <row r="172" spans="2:21" ht="50.25" customHeight="1">
      <c r="B172" s="74"/>
      <c r="C172" s="667"/>
      <c r="D172" s="666"/>
      <c r="E172" s="666"/>
      <c r="F172" s="666"/>
      <c r="G172" s="666"/>
      <c r="H172" s="665"/>
      <c r="I172" s="665"/>
      <c r="J172" s="665"/>
      <c r="K172" s="665"/>
      <c r="L172" s="670"/>
      <c r="M172" s="58"/>
      <c r="N172" s="59"/>
      <c r="O172" s="60"/>
      <c r="P172" s="61"/>
      <c r="Q172" s="61"/>
      <c r="R172" s="61"/>
      <c r="S172" s="61"/>
      <c r="T172" s="61"/>
      <c r="U172" s="54"/>
    </row>
    <row r="173" spans="2:21" ht="50.25" customHeight="1">
      <c r="B173" s="74"/>
      <c r="C173" s="667"/>
      <c r="D173" s="666"/>
      <c r="E173" s="666"/>
      <c r="F173" s="666"/>
      <c r="G173" s="666"/>
      <c r="H173" s="665"/>
      <c r="I173" s="665"/>
      <c r="J173" s="665"/>
      <c r="K173" s="665"/>
      <c r="L173" s="670"/>
      <c r="M173" s="58"/>
      <c r="N173" s="59"/>
      <c r="O173" s="60"/>
      <c r="P173" s="61"/>
      <c r="Q173" s="61"/>
      <c r="R173" s="61"/>
      <c r="S173" s="61"/>
      <c r="T173" s="61"/>
      <c r="U173" s="54"/>
    </row>
    <row r="174" spans="2:21" ht="50.25" customHeight="1">
      <c r="B174" s="74"/>
      <c r="C174" s="667"/>
      <c r="D174" s="666"/>
      <c r="E174" s="666"/>
      <c r="F174" s="666"/>
      <c r="G174" s="666"/>
      <c r="H174" s="665"/>
      <c r="I174" s="665"/>
      <c r="J174" s="665"/>
      <c r="K174" s="665"/>
      <c r="L174" s="670"/>
      <c r="M174" s="58"/>
      <c r="N174" s="59"/>
      <c r="O174" s="60"/>
      <c r="P174" s="61"/>
      <c r="Q174" s="61"/>
      <c r="R174" s="61"/>
      <c r="S174" s="61"/>
      <c r="T174" s="61"/>
      <c r="U174" s="54"/>
    </row>
    <row r="175" spans="2:21" ht="50.25" customHeight="1">
      <c r="B175" s="74"/>
      <c r="C175" s="667"/>
      <c r="D175" s="666"/>
      <c r="E175" s="666"/>
      <c r="F175" s="666"/>
      <c r="G175" s="666"/>
      <c r="H175" s="665"/>
      <c r="I175" s="665"/>
      <c r="J175" s="665"/>
      <c r="K175" s="665"/>
      <c r="L175" s="670"/>
      <c r="M175" s="58"/>
      <c r="N175" s="59"/>
      <c r="O175" s="60"/>
      <c r="P175" s="61"/>
      <c r="Q175" s="61"/>
      <c r="R175" s="61"/>
      <c r="S175" s="61"/>
      <c r="T175" s="61"/>
      <c r="U175" s="54"/>
    </row>
    <row r="176" spans="2:21" ht="50.25" customHeight="1">
      <c r="B176" s="74"/>
      <c r="C176" s="667"/>
      <c r="D176" s="666"/>
      <c r="E176" s="666"/>
      <c r="F176" s="666"/>
      <c r="G176" s="666"/>
      <c r="H176" s="665"/>
      <c r="I176" s="665"/>
      <c r="J176" s="665"/>
      <c r="K176" s="665"/>
      <c r="L176" s="670"/>
      <c r="M176" s="58"/>
      <c r="N176" s="59"/>
      <c r="O176" s="60"/>
      <c r="P176" s="61"/>
      <c r="Q176" s="61"/>
      <c r="R176" s="61"/>
      <c r="S176" s="61"/>
      <c r="T176" s="61"/>
      <c r="U176" s="54"/>
    </row>
    <row r="177" spans="2:21" ht="50.25" customHeight="1">
      <c r="B177" s="74"/>
      <c r="C177" s="667"/>
      <c r="D177" s="666"/>
      <c r="E177" s="666"/>
      <c r="F177" s="666"/>
      <c r="G177" s="666"/>
      <c r="H177" s="665"/>
      <c r="I177" s="665"/>
      <c r="J177" s="665"/>
      <c r="K177" s="665"/>
      <c r="L177" s="670"/>
      <c r="M177" s="58"/>
      <c r="N177" s="59"/>
      <c r="O177" s="60"/>
      <c r="P177" s="61"/>
      <c r="Q177" s="61"/>
      <c r="R177" s="61"/>
      <c r="S177" s="61"/>
      <c r="T177" s="61"/>
      <c r="U177" s="54"/>
    </row>
    <row r="178" spans="2:21" ht="50.25" customHeight="1">
      <c r="B178" s="74"/>
      <c r="C178" s="667"/>
      <c r="D178" s="666"/>
      <c r="E178" s="666"/>
      <c r="F178" s="666"/>
      <c r="G178" s="666"/>
      <c r="H178" s="665"/>
      <c r="I178" s="665"/>
      <c r="J178" s="665"/>
      <c r="K178" s="665"/>
      <c r="L178" s="670"/>
      <c r="M178" s="58"/>
      <c r="N178" s="59"/>
      <c r="O178" s="60"/>
      <c r="P178" s="61"/>
      <c r="Q178" s="61"/>
      <c r="R178" s="61"/>
      <c r="S178" s="61"/>
      <c r="T178" s="61"/>
      <c r="U178" s="54"/>
    </row>
    <row r="179" spans="2:21" ht="50.25" customHeight="1">
      <c r="B179" s="74"/>
      <c r="C179" s="667"/>
      <c r="D179" s="666"/>
      <c r="E179" s="666"/>
      <c r="F179" s="666"/>
      <c r="G179" s="666"/>
      <c r="H179" s="665"/>
      <c r="I179" s="665"/>
      <c r="J179" s="665"/>
      <c r="K179" s="665"/>
      <c r="L179" s="670"/>
      <c r="M179" s="58"/>
      <c r="N179" s="59"/>
      <c r="O179" s="60"/>
      <c r="P179" s="61"/>
      <c r="Q179" s="61"/>
      <c r="R179" s="61"/>
      <c r="S179" s="61"/>
      <c r="T179" s="61"/>
      <c r="U179" s="54"/>
    </row>
    <row r="180" spans="2:21" ht="50.25" customHeight="1">
      <c r="B180" s="74"/>
      <c r="C180" s="667"/>
      <c r="D180" s="666"/>
      <c r="E180" s="666"/>
      <c r="F180" s="666"/>
      <c r="G180" s="666"/>
      <c r="H180" s="665"/>
      <c r="I180" s="665"/>
      <c r="J180" s="665"/>
      <c r="K180" s="665"/>
      <c r="L180" s="670"/>
      <c r="M180" s="58"/>
      <c r="N180" s="59"/>
      <c r="O180" s="60"/>
      <c r="P180" s="61"/>
      <c r="Q180" s="61"/>
      <c r="R180" s="61"/>
      <c r="S180" s="61"/>
      <c r="T180" s="61"/>
      <c r="U180" s="54"/>
    </row>
    <row r="181" spans="2:21" ht="50.25" customHeight="1">
      <c r="B181" s="74"/>
      <c r="C181" s="667"/>
      <c r="D181" s="666"/>
      <c r="E181" s="666"/>
      <c r="F181" s="666"/>
      <c r="G181" s="666"/>
      <c r="H181" s="665"/>
      <c r="I181" s="665"/>
      <c r="J181" s="665"/>
      <c r="K181" s="665"/>
      <c r="L181" s="670"/>
      <c r="M181" s="58"/>
      <c r="N181" s="59"/>
      <c r="O181" s="60"/>
      <c r="P181" s="61"/>
      <c r="Q181" s="61"/>
      <c r="R181" s="61"/>
      <c r="S181" s="61"/>
      <c r="T181" s="61"/>
      <c r="U181" s="54"/>
    </row>
    <row r="182" spans="2:21" ht="50.25" customHeight="1">
      <c r="B182" s="74"/>
      <c r="C182" s="667"/>
      <c r="D182" s="666"/>
      <c r="E182" s="666"/>
      <c r="F182" s="666"/>
      <c r="G182" s="666"/>
      <c r="H182" s="665"/>
      <c r="I182" s="665"/>
      <c r="J182" s="665"/>
      <c r="K182" s="665"/>
      <c r="L182" s="670"/>
      <c r="M182" s="58"/>
      <c r="N182" s="59"/>
      <c r="O182" s="60"/>
      <c r="P182" s="61"/>
      <c r="Q182" s="61"/>
      <c r="R182" s="61"/>
      <c r="S182" s="61"/>
      <c r="T182" s="61"/>
      <c r="U182" s="54"/>
    </row>
    <row r="183" spans="2:21" ht="50.25" customHeight="1">
      <c r="B183" s="74"/>
      <c r="C183" s="667"/>
      <c r="D183" s="666"/>
      <c r="E183" s="666"/>
      <c r="F183" s="666"/>
      <c r="G183" s="666"/>
      <c r="H183" s="665"/>
      <c r="I183" s="665"/>
      <c r="J183" s="665"/>
      <c r="K183" s="665"/>
      <c r="L183" s="670"/>
      <c r="M183" s="58"/>
      <c r="N183" s="59"/>
      <c r="O183" s="60"/>
      <c r="P183" s="61"/>
      <c r="Q183" s="61"/>
      <c r="R183" s="61"/>
      <c r="S183" s="61"/>
      <c r="T183" s="61"/>
      <c r="U183" s="54"/>
    </row>
    <row r="184" spans="2:21" ht="50.25" customHeight="1">
      <c r="B184" s="74"/>
      <c r="C184" s="667"/>
      <c r="D184" s="666"/>
      <c r="E184" s="666"/>
      <c r="F184" s="666"/>
      <c r="G184" s="666"/>
      <c r="H184" s="665"/>
      <c r="I184" s="665"/>
      <c r="J184" s="665"/>
      <c r="K184" s="665"/>
      <c r="L184" s="670"/>
      <c r="M184" s="58"/>
      <c r="N184" s="59"/>
      <c r="O184" s="60"/>
      <c r="P184" s="61"/>
      <c r="Q184" s="61"/>
      <c r="R184" s="61"/>
      <c r="S184" s="61"/>
      <c r="T184" s="61"/>
      <c r="U184" s="54"/>
    </row>
    <row r="185" spans="2:21" ht="50.25" customHeight="1">
      <c r="B185" s="74"/>
      <c r="C185" s="667"/>
      <c r="D185" s="666"/>
      <c r="E185" s="666"/>
      <c r="F185" s="666"/>
      <c r="G185" s="666"/>
      <c r="H185" s="665"/>
      <c r="I185" s="665"/>
      <c r="J185" s="665"/>
      <c r="K185" s="665"/>
      <c r="L185" s="670"/>
      <c r="M185" s="58"/>
      <c r="N185" s="59"/>
      <c r="O185" s="60"/>
      <c r="P185" s="61"/>
      <c r="Q185" s="61"/>
      <c r="R185" s="61"/>
      <c r="S185" s="61"/>
      <c r="T185" s="61"/>
      <c r="U185" s="54"/>
    </row>
    <row r="186" spans="2:21" ht="50.25" customHeight="1">
      <c r="B186" s="74"/>
      <c r="C186" s="667"/>
      <c r="D186" s="666"/>
      <c r="E186" s="666"/>
      <c r="F186" s="666"/>
      <c r="G186" s="666"/>
      <c r="H186" s="665"/>
      <c r="I186" s="665"/>
      <c r="J186" s="665"/>
      <c r="K186" s="665"/>
      <c r="L186" s="670"/>
      <c r="M186" s="58"/>
      <c r="N186" s="59"/>
      <c r="O186" s="60"/>
      <c r="P186" s="61"/>
      <c r="Q186" s="61"/>
      <c r="R186" s="61"/>
      <c r="S186" s="61"/>
      <c r="T186" s="61"/>
      <c r="U186" s="54"/>
    </row>
    <row r="187" spans="2:21" ht="50.25" customHeight="1">
      <c r="B187" s="74"/>
      <c r="C187" s="667"/>
      <c r="D187" s="666"/>
      <c r="E187" s="666"/>
      <c r="F187" s="666"/>
      <c r="G187" s="666"/>
      <c r="H187" s="665"/>
      <c r="I187" s="665"/>
      <c r="J187" s="665"/>
      <c r="K187" s="665"/>
      <c r="L187" s="670"/>
      <c r="M187" s="58"/>
      <c r="N187" s="59"/>
      <c r="O187" s="60"/>
      <c r="P187" s="61"/>
      <c r="Q187" s="61"/>
      <c r="R187" s="61"/>
      <c r="S187" s="61"/>
      <c r="T187" s="61"/>
      <c r="U187" s="54"/>
    </row>
    <row r="188" spans="2:21" ht="50.25" customHeight="1">
      <c r="B188" s="74"/>
      <c r="C188" s="667"/>
      <c r="D188" s="666"/>
      <c r="E188" s="666"/>
      <c r="F188" s="666"/>
      <c r="G188" s="666"/>
      <c r="H188" s="665"/>
      <c r="I188" s="665"/>
      <c r="J188" s="665"/>
      <c r="K188" s="665"/>
      <c r="L188" s="670"/>
      <c r="M188" s="58"/>
      <c r="N188" s="59"/>
      <c r="O188" s="60"/>
      <c r="P188" s="61"/>
      <c r="Q188" s="61"/>
      <c r="R188" s="61"/>
      <c r="S188" s="61"/>
      <c r="T188" s="61"/>
      <c r="U188" s="54"/>
    </row>
    <row r="189" spans="2:21" ht="50.25" customHeight="1">
      <c r="B189" s="74"/>
      <c r="C189" s="667"/>
      <c r="D189" s="666"/>
      <c r="E189" s="666"/>
      <c r="F189" s="666"/>
      <c r="G189" s="666"/>
      <c r="H189" s="665"/>
      <c r="I189" s="665"/>
      <c r="J189" s="665"/>
      <c r="K189" s="665"/>
      <c r="L189" s="670"/>
      <c r="M189" s="58"/>
      <c r="N189" s="59"/>
      <c r="O189" s="60"/>
      <c r="P189" s="61"/>
      <c r="Q189" s="61"/>
      <c r="R189" s="61"/>
      <c r="S189" s="61"/>
      <c r="T189" s="61"/>
      <c r="U189" s="54"/>
    </row>
    <row r="190" spans="2:21" ht="50.25" customHeight="1">
      <c r="B190" s="74"/>
      <c r="C190" s="667"/>
      <c r="D190" s="666"/>
      <c r="E190" s="666"/>
      <c r="F190" s="666"/>
      <c r="G190" s="666"/>
      <c r="H190" s="665"/>
      <c r="I190" s="665"/>
      <c r="J190" s="665"/>
      <c r="K190" s="665"/>
      <c r="L190" s="670"/>
      <c r="M190" s="58"/>
      <c r="N190" s="59"/>
      <c r="O190" s="60"/>
      <c r="P190" s="61"/>
      <c r="Q190" s="61"/>
      <c r="R190" s="61"/>
      <c r="S190" s="61"/>
      <c r="T190" s="61"/>
      <c r="U190" s="54"/>
    </row>
    <row r="191" spans="2:21" ht="50.25" customHeight="1">
      <c r="B191" s="74"/>
      <c r="C191" s="667"/>
      <c r="D191" s="666"/>
      <c r="E191" s="666"/>
      <c r="F191" s="666"/>
      <c r="G191" s="666"/>
      <c r="H191" s="665"/>
      <c r="I191" s="665"/>
      <c r="J191" s="665"/>
      <c r="K191" s="665"/>
      <c r="L191" s="670"/>
      <c r="M191" s="58"/>
      <c r="N191" s="59"/>
      <c r="O191" s="60"/>
      <c r="P191" s="61"/>
      <c r="Q191" s="61"/>
      <c r="R191" s="61"/>
      <c r="S191" s="61"/>
      <c r="T191" s="61"/>
      <c r="U191" s="54"/>
    </row>
    <row r="192" spans="2:21" ht="50.25" customHeight="1">
      <c r="B192" s="74"/>
      <c r="C192" s="667"/>
      <c r="D192" s="666"/>
      <c r="E192" s="666"/>
      <c r="F192" s="666"/>
      <c r="G192" s="666"/>
      <c r="H192" s="665"/>
      <c r="I192" s="665"/>
      <c r="J192" s="665"/>
      <c r="K192" s="665"/>
      <c r="L192" s="670"/>
      <c r="M192" s="58"/>
      <c r="N192" s="59"/>
      <c r="O192" s="60"/>
      <c r="P192" s="61"/>
      <c r="Q192" s="61"/>
      <c r="R192" s="61"/>
      <c r="S192" s="61"/>
      <c r="T192" s="61"/>
      <c r="U192" s="54"/>
    </row>
    <row r="193" spans="2:21" ht="50.25" customHeight="1">
      <c r="B193" s="74"/>
      <c r="C193" s="667"/>
      <c r="D193" s="666"/>
      <c r="E193" s="666"/>
      <c r="F193" s="666"/>
      <c r="G193" s="666"/>
      <c r="H193" s="665"/>
      <c r="I193" s="665"/>
      <c r="J193" s="665"/>
      <c r="K193" s="665"/>
      <c r="L193" s="670"/>
      <c r="M193" s="58"/>
      <c r="N193" s="59"/>
      <c r="O193" s="60"/>
      <c r="P193" s="61"/>
      <c r="Q193" s="61"/>
      <c r="R193" s="61"/>
      <c r="S193" s="61"/>
      <c r="T193" s="61"/>
      <c r="U193" s="54"/>
    </row>
    <row r="194" spans="2:21" ht="50.25" customHeight="1">
      <c r="B194" s="74"/>
      <c r="C194" s="667"/>
      <c r="D194" s="666"/>
      <c r="E194" s="666"/>
      <c r="F194" s="666"/>
      <c r="G194" s="666"/>
      <c r="H194" s="665"/>
      <c r="I194" s="665"/>
      <c r="J194" s="665"/>
      <c r="K194" s="665"/>
      <c r="L194" s="670"/>
      <c r="M194" s="58"/>
      <c r="N194" s="59"/>
      <c r="O194" s="60"/>
      <c r="P194" s="61"/>
      <c r="Q194" s="61"/>
      <c r="R194" s="61"/>
      <c r="S194" s="61"/>
      <c r="T194" s="61"/>
      <c r="U194" s="54"/>
    </row>
    <row r="195" spans="2:21" ht="50.25" customHeight="1">
      <c r="B195" s="74"/>
      <c r="C195" s="667"/>
      <c r="D195" s="666"/>
      <c r="E195" s="666"/>
      <c r="F195" s="666"/>
      <c r="G195" s="666"/>
      <c r="H195" s="665"/>
      <c r="I195" s="665"/>
      <c r="J195" s="665"/>
      <c r="K195" s="665"/>
      <c r="L195" s="670"/>
      <c r="M195" s="58"/>
      <c r="N195" s="59"/>
      <c r="O195" s="60"/>
      <c r="P195" s="61"/>
      <c r="Q195" s="61"/>
      <c r="R195" s="61"/>
      <c r="S195" s="61"/>
      <c r="T195" s="61"/>
      <c r="U195" s="54"/>
    </row>
    <row r="196" spans="2:21" ht="50.25" customHeight="1">
      <c r="B196" s="74"/>
      <c r="C196" s="667"/>
      <c r="D196" s="666"/>
      <c r="E196" s="666"/>
      <c r="F196" s="666"/>
      <c r="G196" s="666"/>
      <c r="H196" s="665"/>
      <c r="I196" s="665"/>
      <c r="J196" s="665"/>
      <c r="K196" s="665"/>
      <c r="L196" s="670"/>
      <c r="M196" s="58"/>
      <c r="N196" s="59"/>
      <c r="O196" s="60"/>
      <c r="P196" s="61"/>
      <c r="Q196" s="61"/>
      <c r="R196" s="61"/>
      <c r="S196" s="61"/>
      <c r="T196" s="61"/>
      <c r="U196" s="54"/>
    </row>
    <row r="197" spans="2:21" ht="50.25" customHeight="1">
      <c r="B197" s="74"/>
      <c r="C197" s="667"/>
      <c r="D197" s="666"/>
      <c r="E197" s="666"/>
      <c r="F197" s="666"/>
      <c r="G197" s="666"/>
      <c r="H197" s="665"/>
      <c r="I197" s="665"/>
      <c r="J197" s="665"/>
      <c r="K197" s="665"/>
      <c r="L197" s="670"/>
      <c r="M197" s="58"/>
      <c r="N197" s="59"/>
      <c r="O197" s="60"/>
      <c r="P197" s="61"/>
      <c r="Q197" s="61"/>
      <c r="R197" s="61"/>
      <c r="S197" s="61"/>
      <c r="T197" s="61"/>
      <c r="U197" s="54"/>
    </row>
    <row r="198" spans="2:21" ht="50.25" customHeight="1">
      <c r="B198" s="74"/>
      <c r="C198" s="667"/>
      <c r="D198" s="666"/>
      <c r="E198" s="666"/>
      <c r="F198" s="666"/>
      <c r="G198" s="666"/>
      <c r="H198" s="665"/>
      <c r="I198" s="665"/>
      <c r="J198" s="665"/>
      <c r="K198" s="665"/>
      <c r="L198" s="670"/>
      <c r="M198" s="58"/>
      <c r="N198" s="59"/>
      <c r="O198" s="60"/>
      <c r="P198" s="61"/>
      <c r="Q198" s="61"/>
      <c r="R198" s="61"/>
      <c r="S198" s="61"/>
      <c r="T198" s="61"/>
      <c r="U198" s="54"/>
    </row>
    <row r="199" spans="2:21" ht="50.25" customHeight="1">
      <c r="B199" s="74"/>
      <c r="C199" s="667"/>
      <c r="D199" s="666"/>
      <c r="E199" s="666"/>
      <c r="F199" s="666"/>
      <c r="G199" s="666"/>
      <c r="H199" s="665"/>
      <c r="I199" s="665"/>
      <c r="J199" s="665"/>
      <c r="K199" s="665"/>
      <c r="L199" s="670"/>
      <c r="M199" s="58"/>
      <c r="N199" s="59"/>
      <c r="O199" s="60"/>
      <c r="P199" s="61"/>
      <c r="Q199" s="61"/>
      <c r="R199" s="61"/>
      <c r="S199" s="61"/>
      <c r="T199" s="61"/>
      <c r="U199" s="54"/>
    </row>
    <row r="200" spans="2:21" ht="50.25" customHeight="1">
      <c r="B200" s="74"/>
      <c r="C200" s="667"/>
      <c r="D200" s="666"/>
      <c r="E200" s="666"/>
      <c r="F200" s="666"/>
      <c r="G200" s="666"/>
      <c r="H200" s="665"/>
      <c r="I200" s="665"/>
      <c r="J200" s="665"/>
      <c r="K200" s="665"/>
      <c r="L200" s="670"/>
      <c r="M200" s="58"/>
      <c r="N200" s="59"/>
      <c r="O200" s="60"/>
      <c r="P200" s="61"/>
      <c r="Q200" s="61"/>
      <c r="R200" s="61"/>
      <c r="S200" s="61"/>
      <c r="T200" s="61"/>
      <c r="U200" s="54"/>
    </row>
    <row r="201" spans="2:21" ht="50.25" customHeight="1">
      <c r="B201" s="74"/>
      <c r="C201" s="667"/>
      <c r="D201" s="666"/>
      <c r="E201" s="666"/>
      <c r="F201" s="666"/>
      <c r="G201" s="666"/>
      <c r="H201" s="665"/>
      <c r="I201" s="665"/>
      <c r="J201" s="665"/>
      <c r="K201" s="665"/>
      <c r="L201" s="670"/>
      <c r="M201" s="58"/>
      <c r="N201" s="59"/>
      <c r="O201" s="60"/>
      <c r="P201" s="61"/>
      <c r="Q201" s="61"/>
      <c r="R201" s="61"/>
      <c r="S201" s="61"/>
      <c r="T201" s="61"/>
      <c r="U201" s="54"/>
    </row>
    <row r="202" spans="2:21" ht="50.25" customHeight="1">
      <c r="B202" s="74"/>
      <c r="C202" s="667"/>
      <c r="D202" s="666"/>
      <c r="E202" s="666"/>
      <c r="F202" s="666"/>
      <c r="G202" s="666"/>
      <c r="H202" s="665"/>
      <c r="I202" s="665"/>
      <c r="J202" s="665"/>
      <c r="K202" s="665"/>
      <c r="L202" s="670"/>
      <c r="M202" s="58"/>
      <c r="N202" s="59"/>
      <c r="O202" s="60"/>
      <c r="P202" s="61"/>
      <c r="Q202" s="61"/>
      <c r="R202" s="61"/>
      <c r="S202" s="61"/>
      <c r="T202" s="61"/>
      <c r="U202" s="54"/>
    </row>
    <row r="203" spans="2:21" ht="50.25" customHeight="1">
      <c r="B203" s="74"/>
      <c r="C203" s="667"/>
      <c r="D203" s="666"/>
      <c r="E203" s="666"/>
      <c r="F203" s="666"/>
      <c r="G203" s="666"/>
      <c r="H203" s="665"/>
      <c r="I203" s="665"/>
      <c r="J203" s="665"/>
      <c r="K203" s="665"/>
      <c r="L203" s="670"/>
      <c r="M203" s="58"/>
      <c r="N203" s="59"/>
      <c r="O203" s="60"/>
      <c r="P203" s="61"/>
      <c r="Q203" s="61"/>
      <c r="R203" s="61"/>
      <c r="S203" s="61"/>
      <c r="T203" s="61"/>
      <c r="U203" s="54"/>
    </row>
    <row r="204" spans="2:21" ht="50.25" customHeight="1">
      <c r="B204" s="74"/>
      <c r="C204" s="667"/>
      <c r="D204" s="666"/>
      <c r="E204" s="666"/>
      <c r="F204" s="666"/>
      <c r="G204" s="666"/>
      <c r="H204" s="665"/>
      <c r="I204" s="665"/>
      <c r="J204" s="665"/>
      <c r="K204" s="665"/>
      <c r="L204" s="670"/>
      <c r="M204" s="58"/>
      <c r="N204" s="59"/>
      <c r="O204" s="60"/>
      <c r="P204" s="61"/>
      <c r="Q204" s="61"/>
      <c r="R204" s="61"/>
      <c r="S204" s="61"/>
      <c r="T204" s="61"/>
      <c r="U204" s="54"/>
    </row>
    <row r="205" spans="2:21" ht="50.25" customHeight="1">
      <c r="B205" s="74"/>
      <c r="C205" s="667"/>
      <c r="D205" s="666"/>
      <c r="E205" s="666"/>
      <c r="F205" s="666"/>
      <c r="G205" s="666"/>
      <c r="H205" s="665"/>
      <c r="I205" s="665"/>
      <c r="J205" s="665"/>
      <c r="K205" s="665"/>
      <c r="L205" s="670"/>
      <c r="M205" s="58"/>
      <c r="N205" s="59"/>
      <c r="O205" s="60"/>
      <c r="P205" s="61"/>
      <c r="Q205" s="61"/>
      <c r="R205" s="61"/>
      <c r="S205" s="61"/>
      <c r="T205" s="61"/>
      <c r="U205" s="54"/>
    </row>
    <row r="206" spans="2:21" ht="50.25" customHeight="1">
      <c r="B206" s="74"/>
      <c r="C206" s="667"/>
      <c r="D206" s="666"/>
      <c r="E206" s="666"/>
      <c r="F206" s="666"/>
      <c r="G206" s="666"/>
      <c r="H206" s="665"/>
      <c r="I206" s="665"/>
      <c r="J206" s="665"/>
      <c r="K206" s="665"/>
      <c r="L206" s="670"/>
      <c r="M206" s="58"/>
      <c r="N206" s="59"/>
      <c r="O206" s="60"/>
      <c r="P206" s="61"/>
      <c r="Q206" s="61"/>
      <c r="R206" s="61"/>
      <c r="S206" s="61"/>
      <c r="T206" s="61"/>
      <c r="U206" s="54"/>
    </row>
    <row r="207" spans="2:21" ht="50.25" customHeight="1">
      <c r="B207" s="74"/>
      <c r="C207" s="667"/>
      <c r="D207" s="666"/>
      <c r="E207" s="666"/>
      <c r="F207" s="666"/>
      <c r="G207" s="666"/>
      <c r="H207" s="665"/>
      <c r="I207" s="665"/>
      <c r="J207" s="665"/>
      <c r="K207" s="665"/>
      <c r="L207" s="670"/>
      <c r="M207" s="58"/>
      <c r="N207" s="59"/>
      <c r="O207" s="60"/>
      <c r="P207" s="61"/>
      <c r="Q207" s="61"/>
      <c r="R207" s="61"/>
      <c r="S207" s="61"/>
      <c r="T207" s="61"/>
      <c r="U207" s="54"/>
    </row>
    <row r="208" spans="2:21" ht="50.25" customHeight="1">
      <c r="B208" s="74"/>
      <c r="C208" s="667"/>
      <c r="D208" s="666"/>
      <c r="E208" s="666"/>
      <c r="F208" s="666"/>
      <c r="G208" s="666"/>
      <c r="H208" s="665"/>
      <c r="I208" s="665"/>
      <c r="J208" s="665"/>
      <c r="K208" s="665"/>
      <c r="L208" s="670"/>
      <c r="M208" s="58"/>
      <c r="N208" s="59"/>
      <c r="O208" s="60"/>
      <c r="P208" s="61"/>
      <c r="Q208" s="61"/>
      <c r="R208" s="61"/>
      <c r="S208" s="61"/>
      <c r="T208" s="61"/>
      <c r="U208" s="54"/>
    </row>
    <row r="209" spans="2:21" ht="50.25" customHeight="1">
      <c r="B209" s="74"/>
      <c r="C209" s="667"/>
      <c r="D209" s="666"/>
      <c r="E209" s="666"/>
      <c r="F209" s="666"/>
      <c r="G209" s="666"/>
      <c r="H209" s="665"/>
      <c r="I209" s="665"/>
      <c r="J209" s="665"/>
      <c r="K209" s="665"/>
      <c r="L209" s="670"/>
      <c r="M209" s="58"/>
      <c r="N209" s="59"/>
      <c r="O209" s="60"/>
      <c r="P209" s="61"/>
      <c r="Q209" s="61"/>
      <c r="R209" s="61"/>
      <c r="S209" s="61"/>
      <c r="T209" s="61"/>
      <c r="U209" s="54"/>
    </row>
    <row r="210" spans="2:21" ht="50.25" customHeight="1">
      <c r="B210" s="74"/>
      <c r="C210" s="667"/>
      <c r="D210" s="666"/>
      <c r="E210" s="666"/>
      <c r="F210" s="666"/>
      <c r="G210" s="666"/>
      <c r="H210" s="665"/>
      <c r="I210" s="665"/>
      <c r="J210" s="665"/>
      <c r="K210" s="665"/>
      <c r="L210" s="670"/>
      <c r="M210" s="58"/>
      <c r="N210" s="59"/>
      <c r="O210" s="60"/>
      <c r="P210" s="61"/>
      <c r="Q210" s="61"/>
      <c r="R210" s="61"/>
      <c r="S210" s="61"/>
      <c r="T210" s="61"/>
      <c r="U210" s="54"/>
    </row>
    <row r="211" spans="2:21" ht="50.25" customHeight="1">
      <c r="B211" s="74"/>
      <c r="C211" s="667"/>
      <c r="D211" s="666"/>
      <c r="E211" s="666"/>
      <c r="F211" s="666"/>
      <c r="G211" s="666"/>
      <c r="H211" s="665"/>
      <c r="I211" s="665"/>
      <c r="J211" s="665"/>
      <c r="K211" s="665"/>
      <c r="L211" s="670"/>
      <c r="M211" s="58"/>
      <c r="N211" s="59"/>
      <c r="O211" s="60"/>
      <c r="P211" s="61"/>
      <c r="Q211" s="61"/>
      <c r="R211" s="61"/>
      <c r="S211" s="61"/>
      <c r="T211" s="61"/>
      <c r="U211" s="54"/>
    </row>
    <row r="212" spans="2:21" ht="50.25" customHeight="1">
      <c r="B212" s="74"/>
      <c r="C212" s="667"/>
      <c r="D212" s="666"/>
      <c r="E212" s="666"/>
      <c r="F212" s="666"/>
      <c r="G212" s="666"/>
      <c r="H212" s="665"/>
      <c r="I212" s="665"/>
      <c r="J212" s="665"/>
      <c r="K212" s="665"/>
      <c r="L212" s="670"/>
      <c r="M212" s="58"/>
      <c r="N212" s="59"/>
      <c r="O212" s="60"/>
      <c r="P212" s="61"/>
      <c r="Q212" s="61"/>
      <c r="R212" s="61"/>
      <c r="S212" s="61"/>
      <c r="T212" s="61"/>
      <c r="U212" s="54"/>
    </row>
    <row r="213" spans="2:21" ht="50.25" customHeight="1">
      <c r="B213" s="74"/>
      <c r="C213" s="667"/>
      <c r="D213" s="666"/>
      <c r="E213" s="666"/>
      <c r="F213" s="666"/>
      <c r="G213" s="666"/>
      <c r="H213" s="665"/>
      <c r="I213" s="665"/>
      <c r="J213" s="665"/>
      <c r="K213" s="665"/>
      <c r="L213" s="670"/>
      <c r="M213" s="58"/>
      <c r="N213" s="59"/>
      <c r="O213" s="60"/>
      <c r="P213" s="61"/>
      <c r="Q213" s="61"/>
      <c r="R213" s="61"/>
      <c r="S213" s="61"/>
      <c r="T213" s="61"/>
      <c r="U213" s="54"/>
    </row>
    <row r="214" spans="2:21" ht="50.25" customHeight="1">
      <c r="B214" s="74"/>
      <c r="C214" s="667"/>
      <c r="D214" s="666"/>
      <c r="E214" s="666"/>
      <c r="F214" s="666"/>
      <c r="G214" s="666"/>
      <c r="H214" s="665"/>
      <c r="I214" s="665"/>
      <c r="J214" s="665"/>
      <c r="K214" s="665"/>
      <c r="L214" s="670"/>
      <c r="M214" s="58"/>
      <c r="N214" s="59"/>
      <c r="O214" s="60"/>
      <c r="P214" s="61"/>
      <c r="Q214" s="61"/>
      <c r="R214" s="61"/>
      <c r="S214" s="61"/>
      <c r="T214" s="61"/>
      <c r="U214" s="54"/>
    </row>
    <row r="215" spans="2:21" ht="50.25" customHeight="1">
      <c r="B215" s="74"/>
      <c r="C215" s="667"/>
      <c r="D215" s="666"/>
      <c r="E215" s="666"/>
      <c r="F215" s="666"/>
      <c r="G215" s="666"/>
      <c r="H215" s="665"/>
      <c r="I215" s="665"/>
      <c r="J215" s="665"/>
      <c r="K215" s="665"/>
      <c r="L215" s="670"/>
      <c r="M215" s="58"/>
      <c r="N215" s="59"/>
      <c r="O215" s="60"/>
      <c r="P215" s="61"/>
      <c r="Q215" s="61"/>
      <c r="R215" s="61"/>
      <c r="S215" s="61"/>
      <c r="T215" s="61"/>
      <c r="U215" s="54"/>
    </row>
    <row r="216" spans="2:21" ht="50.25" customHeight="1">
      <c r="B216" s="74"/>
      <c r="C216" s="667"/>
      <c r="D216" s="666"/>
      <c r="E216" s="666"/>
      <c r="F216" s="666"/>
      <c r="G216" s="666"/>
      <c r="H216" s="665"/>
      <c r="I216" s="665"/>
      <c r="J216" s="665"/>
      <c r="K216" s="665"/>
      <c r="L216" s="670"/>
      <c r="M216" s="58"/>
      <c r="N216" s="59"/>
      <c r="O216" s="60"/>
      <c r="P216" s="61"/>
      <c r="Q216" s="61"/>
      <c r="R216" s="61"/>
      <c r="S216" s="61"/>
      <c r="T216" s="61"/>
      <c r="U216" s="54"/>
    </row>
    <row r="217" spans="2:21" ht="50.25" customHeight="1">
      <c r="B217" s="74"/>
      <c r="C217" s="667"/>
      <c r="D217" s="666"/>
      <c r="E217" s="666"/>
      <c r="F217" s="666"/>
      <c r="G217" s="666"/>
      <c r="H217" s="665"/>
      <c r="I217" s="665"/>
      <c r="J217" s="665"/>
      <c r="K217" s="665"/>
      <c r="L217" s="670"/>
      <c r="M217" s="58"/>
      <c r="N217" s="59"/>
      <c r="O217" s="60"/>
      <c r="P217" s="61"/>
      <c r="Q217" s="61"/>
      <c r="R217" s="61"/>
      <c r="S217" s="61"/>
      <c r="T217" s="61"/>
      <c r="U217" s="54"/>
    </row>
    <row r="218" spans="2:21" ht="50.25" customHeight="1">
      <c r="B218" s="74"/>
      <c r="C218" s="667"/>
      <c r="D218" s="666"/>
      <c r="E218" s="666"/>
      <c r="F218" s="666"/>
      <c r="G218" s="666"/>
      <c r="H218" s="665"/>
      <c r="I218" s="665"/>
      <c r="J218" s="665"/>
      <c r="K218" s="665"/>
      <c r="L218" s="670"/>
      <c r="M218" s="58"/>
      <c r="N218" s="59"/>
      <c r="O218" s="60"/>
      <c r="P218" s="61"/>
      <c r="Q218" s="61"/>
      <c r="R218" s="61"/>
      <c r="S218" s="61"/>
      <c r="T218" s="61"/>
      <c r="U218" s="54"/>
    </row>
    <row r="219" spans="2:21" ht="50.25" customHeight="1">
      <c r="B219" s="74"/>
      <c r="C219" s="667"/>
      <c r="D219" s="666"/>
      <c r="E219" s="666"/>
      <c r="F219" s="666"/>
      <c r="G219" s="666"/>
      <c r="H219" s="665"/>
      <c r="I219" s="665"/>
      <c r="J219" s="665"/>
      <c r="K219" s="665"/>
      <c r="L219" s="670"/>
      <c r="M219" s="58"/>
      <c r="N219" s="59"/>
      <c r="O219" s="60"/>
      <c r="P219" s="61"/>
      <c r="Q219" s="61"/>
      <c r="R219" s="61"/>
      <c r="S219" s="61"/>
      <c r="T219" s="61"/>
      <c r="U219" s="54"/>
    </row>
    <row r="220" spans="2:21" ht="50.25" customHeight="1">
      <c r="B220" s="74"/>
      <c r="C220" s="667"/>
      <c r="D220" s="666"/>
      <c r="E220" s="666"/>
      <c r="F220" s="666"/>
      <c r="G220" s="666"/>
      <c r="H220" s="665"/>
      <c r="I220" s="665"/>
      <c r="J220" s="665"/>
      <c r="K220" s="665"/>
      <c r="L220" s="670"/>
      <c r="M220" s="58"/>
      <c r="N220" s="59"/>
      <c r="O220" s="60"/>
      <c r="P220" s="61"/>
      <c r="Q220" s="61"/>
      <c r="R220" s="61"/>
      <c r="S220" s="61"/>
      <c r="T220" s="61"/>
      <c r="U220" s="54"/>
    </row>
    <row r="221" spans="2:21" ht="50.25" customHeight="1">
      <c r="B221" s="74"/>
      <c r="C221" s="667"/>
      <c r="D221" s="666"/>
      <c r="E221" s="666"/>
      <c r="F221" s="666"/>
      <c r="G221" s="666"/>
      <c r="H221" s="665"/>
      <c r="I221" s="665"/>
      <c r="J221" s="665"/>
      <c r="K221" s="665"/>
      <c r="L221" s="670"/>
      <c r="M221" s="58"/>
      <c r="N221" s="59"/>
      <c r="O221" s="60"/>
      <c r="P221" s="61"/>
      <c r="Q221" s="61"/>
      <c r="R221" s="61"/>
      <c r="S221" s="61"/>
      <c r="T221" s="61"/>
      <c r="U221" s="54"/>
    </row>
    <row r="222" spans="2:21" ht="50.25" customHeight="1">
      <c r="B222" s="74"/>
      <c r="C222" s="667"/>
      <c r="D222" s="666"/>
      <c r="E222" s="666"/>
      <c r="F222" s="666"/>
      <c r="G222" s="666"/>
      <c r="H222" s="665"/>
      <c r="I222" s="665"/>
      <c r="J222" s="665"/>
      <c r="K222" s="665"/>
      <c r="L222" s="670"/>
      <c r="M222" s="58"/>
      <c r="N222" s="59"/>
      <c r="O222" s="60"/>
      <c r="P222" s="61"/>
      <c r="Q222" s="61"/>
      <c r="R222" s="61"/>
      <c r="S222" s="61"/>
      <c r="T222" s="61"/>
      <c r="U222" s="54"/>
    </row>
    <row r="223" spans="2:21" ht="50.25" customHeight="1">
      <c r="B223" s="74"/>
      <c r="C223" s="667"/>
      <c r="D223" s="666"/>
      <c r="E223" s="666"/>
      <c r="F223" s="666"/>
      <c r="G223" s="666"/>
      <c r="H223" s="665"/>
      <c r="I223" s="665"/>
      <c r="J223" s="665"/>
      <c r="K223" s="665"/>
      <c r="L223" s="670"/>
      <c r="M223" s="58"/>
      <c r="N223" s="59"/>
      <c r="O223" s="60"/>
      <c r="P223" s="61"/>
      <c r="Q223" s="61"/>
      <c r="R223" s="61"/>
      <c r="S223" s="61"/>
      <c r="T223" s="61"/>
      <c r="U223" s="54"/>
    </row>
    <row r="224" spans="2:21" ht="50.25" customHeight="1">
      <c r="B224" s="74"/>
      <c r="C224" s="667"/>
      <c r="D224" s="666"/>
      <c r="E224" s="666"/>
      <c r="F224" s="666"/>
      <c r="G224" s="666"/>
      <c r="H224" s="665"/>
      <c r="I224" s="665"/>
      <c r="J224" s="665"/>
      <c r="K224" s="665"/>
      <c r="L224" s="670"/>
      <c r="M224" s="58"/>
      <c r="N224" s="59"/>
      <c r="O224" s="60"/>
      <c r="P224" s="61"/>
      <c r="Q224" s="61"/>
      <c r="R224" s="61"/>
      <c r="S224" s="61"/>
      <c r="T224" s="61"/>
      <c r="U224" s="54"/>
    </row>
    <row r="225" spans="2:21" ht="50.25" customHeight="1">
      <c r="B225" s="74"/>
      <c r="C225" s="667"/>
      <c r="D225" s="666"/>
      <c r="E225" s="666"/>
      <c r="F225" s="666"/>
      <c r="G225" s="666"/>
      <c r="H225" s="665"/>
      <c r="I225" s="665"/>
      <c r="J225" s="665"/>
      <c r="K225" s="665"/>
      <c r="L225" s="670"/>
      <c r="M225" s="58"/>
      <c r="N225" s="59"/>
      <c r="O225" s="60"/>
      <c r="P225" s="61"/>
      <c r="Q225" s="61"/>
      <c r="R225" s="61"/>
      <c r="S225" s="61"/>
      <c r="T225" s="61"/>
      <c r="U225" s="54"/>
    </row>
    <row r="226" spans="2:21" ht="50.25" customHeight="1">
      <c r="B226" s="74"/>
      <c r="C226" s="667"/>
      <c r="D226" s="666"/>
      <c r="E226" s="666"/>
      <c r="F226" s="666"/>
      <c r="G226" s="666"/>
      <c r="H226" s="665"/>
      <c r="I226" s="665"/>
      <c r="J226" s="665"/>
      <c r="K226" s="665"/>
      <c r="L226" s="670"/>
      <c r="M226" s="58"/>
      <c r="N226" s="59"/>
      <c r="O226" s="60"/>
      <c r="P226" s="61"/>
      <c r="Q226" s="61"/>
      <c r="R226" s="61"/>
      <c r="S226" s="61"/>
      <c r="T226" s="61"/>
      <c r="U226" s="54"/>
    </row>
    <row r="227" spans="2:21" ht="50.25" customHeight="1">
      <c r="B227" s="74"/>
      <c r="C227" s="667"/>
      <c r="D227" s="666"/>
      <c r="E227" s="666"/>
      <c r="F227" s="666"/>
      <c r="G227" s="666"/>
      <c r="H227" s="665"/>
      <c r="I227" s="665"/>
      <c r="J227" s="665"/>
      <c r="K227" s="665"/>
      <c r="L227" s="670"/>
      <c r="M227" s="58"/>
      <c r="N227" s="59"/>
      <c r="O227" s="60"/>
      <c r="P227" s="61"/>
      <c r="Q227" s="61"/>
      <c r="R227" s="61"/>
      <c r="S227" s="61"/>
      <c r="T227" s="61"/>
      <c r="U227" s="54"/>
    </row>
    <row r="228" spans="2:21" ht="50.25" customHeight="1">
      <c r="B228" s="74"/>
      <c r="C228" s="667"/>
      <c r="D228" s="666"/>
      <c r="E228" s="666"/>
      <c r="F228" s="666"/>
      <c r="G228" s="666"/>
      <c r="H228" s="665"/>
      <c r="I228" s="665"/>
      <c r="J228" s="665"/>
      <c r="K228" s="665"/>
      <c r="L228" s="670"/>
      <c r="M228" s="58"/>
      <c r="N228" s="59"/>
      <c r="O228" s="60"/>
      <c r="P228" s="61"/>
      <c r="Q228" s="61"/>
      <c r="R228" s="61"/>
      <c r="S228" s="61"/>
      <c r="T228" s="61"/>
      <c r="U228" s="54"/>
    </row>
    <row r="229" spans="2:21" ht="50.25" customHeight="1">
      <c r="B229" s="74"/>
      <c r="C229" s="667"/>
      <c r="D229" s="666"/>
      <c r="E229" s="666"/>
      <c r="F229" s="666"/>
      <c r="G229" s="666"/>
      <c r="H229" s="665"/>
      <c r="I229" s="665"/>
      <c r="J229" s="665"/>
      <c r="K229" s="665"/>
      <c r="L229" s="670"/>
      <c r="M229" s="58"/>
      <c r="N229" s="59"/>
      <c r="O229" s="60"/>
      <c r="P229" s="61"/>
      <c r="Q229" s="61"/>
      <c r="R229" s="61"/>
      <c r="S229" s="61"/>
      <c r="T229" s="61"/>
      <c r="U229" s="54"/>
    </row>
    <row r="230" spans="2:21" ht="50.25" customHeight="1">
      <c r="B230" s="74"/>
      <c r="C230" s="667"/>
      <c r="D230" s="666"/>
      <c r="E230" s="666"/>
      <c r="F230" s="666"/>
      <c r="G230" s="666"/>
      <c r="H230" s="665"/>
      <c r="I230" s="665"/>
      <c r="J230" s="665"/>
      <c r="K230" s="665"/>
      <c r="L230" s="670"/>
      <c r="M230" s="58"/>
      <c r="N230" s="59"/>
      <c r="O230" s="60"/>
      <c r="P230" s="61"/>
      <c r="Q230" s="61"/>
      <c r="R230" s="61"/>
      <c r="S230" s="61"/>
      <c r="T230" s="61"/>
      <c r="U230" s="54"/>
    </row>
    <row r="231" spans="2:21" ht="50.25" customHeight="1">
      <c r="B231" s="74"/>
      <c r="C231" s="667"/>
      <c r="D231" s="666"/>
      <c r="E231" s="666"/>
      <c r="F231" s="666"/>
      <c r="G231" s="666"/>
      <c r="H231" s="665"/>
      <c r="I231" s="665"/>
      <c r="J231" s="665"/>
      <c r="K231" s="665"/>
      <c r="L231" s="670"/>
      <c r="M231" s="58"/>
      <c r="N231" s="59"/>
      <c r="O231" s="60"/>
      <c r="P231" s="61"/>
      <c r="Q231" s="61"/>
      <c r="R231" s="61"/>
      <c r="S231" s="61"/>
      <c r="T231" s="61"/>
      <c r="U231" s="54"/>
    </row>
    <row r="232" spans="2:21" ht="50.25" customHeight="1">
      <c r="B232" s="74"/>
      <c r="C232" s="667"/>
      <c r="D232" s="666"/>
      <c r="E232" s="666"/>
      <c r="F232" s="666"/>
      <c r="G232" s="666"/>
      <c r="H232" s="665"/>
      <c r="I232" s="665"/>
      <c r="J232" s="665"/>
      <c r="K232" s="665"/>
      <c r="L232" s="670"/>
      <c r="M232" s="58"/>
      <c r="N232" s="59"/>
      <c r="O232" s="60"/>
      <c r="P232" s="61"/>
      <c r="Q232" s="61"/>
      <c r="R232" s="61"/>
      <c r="S232" s="61"/>
      <c r="T232" s="61"/>
      <c r="U232" s="54"/>
    </row>
    <row r="233" spans="2:21" ht="50.25" customHeight="1">
      <c r="B233" s="74"/>
      <c r="C233" s="667"/>
      <c r="D233" s="666"/>
      <c r="E233" s="666"/>
      <c r="F233" s="666"/>
      <c r="G233" s="666"/>
      <c r="H233" s="665"/>
      <c r="I233" s="665"/>
      <c r="J233" s="665"/>
      <c r="K233" s="665"/>
      <c r="L233" s="670"/>
      <c r="M233" s="58"/>
      <c r="N233" s="59"/>
      <c r="O233" s="60"/>
      <c r="P233" s="61"/>
      <c r="Q233" s="61"/>
      <c r="R233" s="61"/>
      <c r="S233" s="61"/>
      <c r="T233" s="61"/>
      <c r="U233" s="54"/>
    </row>
    <row r="234" spans="2:21" ht="50.25" customHeight="1">
      <c r="B234" s="74"/>
      <c r="C234" s="667"/>
      <c r="D234" s="666"/>
      <c r="E234" s="666"/>
      <c r="F234" s="666"/>
      <c r="G234" s="666"/>
      <c r="H234" s="665"/>
      <c r="I234" s="665"/>
      <c r="J234" s="665"/>
      <c r="K234" s="665"/>
      <c r="L234" s="670"/>
      <c r="M234" s="58"/>
      <c r="N234" s="59"/>
      <c r="O234" s="60"/>
      <c r="P234" s="61"/>
      <c r="Q234" s="61"/>
      <c r="R234" s="61"/>
      <c r="S234" s="61"/>
      <c r="T234" s="61"/>
      <c r="U234" s="54"/>
    </row>
    <row r="235" spans="2:21" ht="50.25" customHeight="1">
      <c r="B235" s="74"/>
      <c r="C235" s="667"/>
      <c r="D235" s="666"/>
      <c r="E235" s="666"/>
      <c r="F235" s="666"/>
      <c r="G235" s="666"/>
      <c r="H235" s="665"/>
      <c r="I235" s="665"/>
      <c r="J235" s="665"/>
      <c r="K235" s="665"/>
      <c r="L235" s="670"/>
      <c r="M235" s="58"/>
      <c r="N235" s="59"/>
      <c r="O235" s="60"/>
      <c r="P235" s="61"/>
      <c r="Q235" s="61"/>
      <c r="R235" s="61"/>
      <c r="S235" s="61"/>
      <c r="T235" s="61"/>
      <c r="U235" s="54"/>
    </row>
    <row r="236" spans="2:21" ht="50.25" customHeight="1">
      <c r="B236" s="74"/>
      <c r="C236" s="667"/>
      <c r="D236" s="666"/>
      <c r="E236" s="666"/>
      <c r="F236" s="666"/>
      <c r="G236" s="666"/>
      <c r="H236" s="665"/>
      <c r="I236" s="665"/>
      <c r="J236" s="665"/>
      <c r="K236" s="665"/>
      <c r="L236" s="670"/>
      <c r="M236" s="58"/>
      <c r="N236" s="59"/>
      <c r="O236" s="60"/>
      <c r="P236" s="61"/>
      <c r="Q236" s="61"/>
      <c r="R236" s="61"/>
      <c r="S236" s="61"/>
      <c r="T236" s="61"/>
      <c r="U236" s="54"/>
    </row>
    <row r="237" spans="2:21" ht="50.25" customHeight="1">
      <c r="B237" s="74"/>
      <c r="C237" s="667"/>
      <c r="D237" s="666"/>
      <c r="E237" s="666"/>
      <c r="F237" s="666"/>
      <c r="G237" s="666"/>
      <c r="H237" s="665"/>
      <c r="I237" s="665"/>
      <c r="J237" s="665"/>
      <c r="K237" s="665"/>
      <c r="L237" s="670"/>
      <c r="M237" s="58"/>
      <c r="N237" s="59"/>
      <c r="O237" s="60"/>
      <c r="P237" s="61"/>
      <c r="Q237" s="61"/>
      <c r="R237" s="61"/>
      <c r="S237" s="61"/>
      <c r="T237" s="61"/>
      <c r="U237" s="54"/>
    </row>
    <row r="238" spans="2:21" ht="50.25" customHeight="1">
      <c r="B238" s="74"/>
      <c r="C238" s="667"/>
      <c r="D238" s="666"/>
      <c r="E238" s="666"/>
      <c r="F238" s="666"/>
      <c r="G238" s="666"/>
      <c r="H238" s="665"/>
      <c r="I238" s="665"/>
      <c r="J238" s="665"/>
      <c r="K238" s="665"/>
      <c r="L238" s="670"/>
      <c r="M238" s="58"/>
      <c r="N238" s="59"/>
      <c r="O238" s="60"/>
      <c r="P238" s="60"/>
      <c r="Q238" s="60"/>
      <c r="R238" s="60"/>
      <c r="S238" s="60"/>
      <c r="T238" s="60"/>
      <c r="U238" s="54"/>
    </row>
    <row r="239" spans="2:21" ht="50.25" customHeight="1">
      <c r="B239" s="74"/>
      <c r="C239" s="667"/>
      <c r="D239" s="666"/>
      <c r="E239" s="666"/>
      <c r="F239" s="666"/>
      <c r="G239" s="666"/>
      <c r="H239" s="665"/>
      <c r="I239" s="665"/>
      <c r="J239" s="665"/>
      <c r="K239" s="665"/>
      <c r="L239" s="670"/>
      <c r="M239" s="62"/>
      <c r="N239" s="63"/>
      <c r="O239" s="60"/>
      <c r="P239" s="60"/>
      <c r="Q239" s="60"/>
      <c r="R239" s="60"/>
      <c r="S239" s="60"/>
      <c r="T239" s="60"/>
      <c r="U239" s="54"/>
    </row>
    <row r="240" spans="2:21" ht="15" customHeight="1">
      <c r="B240" s="74"/>
      <c r="C240" s="667"/>
      <c r="D240" s="666"/>
      <c r="E240" s="666"/>
      <c r="F240" s="666"/>
      <c r="G240" s="666"/>
      <c r="H240" s="665"/>
      <c r="I240" s="665"/>
      <c r="J240" s="665"/>
      <c r="K240" s="665"/>
      <c r="L240" s="670"/>
      <c r="M240" s="58"/>
      <c r="N240" s="59"/>
      <c r="O240" s="60"/>
      <c r="P240" s="61"/>
      <c r="Q240" s="61"/>
      <c r="R240" s="61"/>
      <c r="S240" s="61"/>
      <c r="T240" s="61"/>
      <c r="U240" s="54"/>
    </row>
    <row r="241" spans="2:325" ht="15" customHeight="1">
      <c r="B241" s="74"/>
      <c r="C241" s="65"/>
      <c r="D241" s="66"/>
      <c r="E241" s="67"/>
      <c r="F241" s="67"/>
      <c r="G241" s="67"/>
      <c r="H241" s="67"/>
      <c r="I241" s="67"/>
      <c r="J241" s="67"/>
      <c r="K241" s="67"/>
      <c r="L241" s="68"/>
      <c r="M241" s="68"/>
      <c r="N241" s="68"/>
      <c r="O241" s="68"/>
      <c r="P241" s="68"/>
      <c r="Q241" s="68"/>
      <c r="R241" s="68"/>
      <c r="S241" s="68"/>
      <c r="T241" s="68"/>
      <c r="U241" s="54"/>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6"/>
      <c r="DK241" s="6"/>
      <c r="DL241" s="6"/>
      <c r="DM241" s="6"/>
      <c r="DN241" s="6"/>
      <c r="DO241" s="6"/>
      <c r="DP241" s="6"/>
      <c r="DQ241" s="6"/>
      <c r="DR241" s="6"/>
      <c r="DS241" s="6"/>
      <c r="DT241" s="6"/>
      <c r="DU241" s="6"/>
      <c r="DV241" s="6"/>
      <c r="DW241" s="6"/>
      <c r="DX241" s="6"/>
      <c r="DY241" s="6"/>
      <c r="DZ241" s="6"/>
      <c r="EA241" s="6"/>
      <c r="EB241" s="6"/>
      <c r="EC241" s="6"/>
      <c r="ED241" s="6"/>
      <c r="EE241" s="6"/>
      <c r="EF241" s="6"/>
      <c r="EG241" s="6"/>
      <c r="EH241" s="6"/>
      <c r="EI241" s="6"/>
      <c r="EJ241" s="6"/>
      <c r="EK241" s="6"/>
      <c r="EL241" s="6"/>
      <c r="EM241" s="6"/>
      <c r="EN241" s="6"/>
      <c r="EO241" s="6"/>
      <c r="EP241" s="6"/>
      <c r="EQ241" s="6"/>
      <c r="ER241" s="6"/>
      <c r="ES241" s="6"/>
      <c r="ET241" s="6"/>
      <c r="EU241" s="6"/>
      <c r="EV241" s="6"/>
      <c r="EW241" s="6"/>
      <c r="EX241" s="6"/>
      <c r="EY241" s="6"/>
      <c r="EZ241" s="6"/>
      <c r="FA241" s="6"/>
      <c r="FB241" s="6"/>
      <c r="FC241" s="6"/>
      <c r="FD241" s="6"/>
      <c r="FE241" s="6"/>
      <c r="FF241" s="6"/>
      <c r="FG241" s="6"/>
      <c r="FH241" s="6"/>
      <c r="FI241" s="6"/>
      <c r="FJ241" s="6"/>
      <c r="FK241" s="6"/>
      <c r="FL241" s="6"/>
      <c r="FM241" s="6"/>
      <c r="FN241" s="6"/>
      <c r="FO241" s="6"/>
      <c r="FP241" s="6"/>
      <c r="FQ241" s="6"/>
      <c r="FR241" s="6"/>
      <c r="FS241" s="6"/>
      <c r="FT241" s="6"/>
      <c r="FU241" s="6"/>
      <c r="FV241" s="6"/>
      <c r="FW241" s="6"/>
      <c r="FX241" s="6"/>
      <c r="FY241" s="6"/>
      <c r="FZ241" s="6"/>
      <c r="GA241" s="6"/>
      <c r="GB241" s="6"/>
      <c r="GC241" s="6"/>
      <c r="GD241" s="6"/>
      <c r="GE241" s="6"/>
      <c r="GF241" s="6"/>
      <c r="GG241" s="6"/>
      <c r="GH241" s="6"/>
      <c r="GI241" s="6"/>
      <c r="GJ241" s="6"/>
      <c r="GK241" s="6"/>
      <c r="GL241" s="6"/>
      <c r="GM241" s="6"/>
      <c r="GN241" s="6"/>
      <c r="GO241" s="6"/>
      <c r="GP241" s="6"/>
      <c r="GQ241" s="6"/>
      <c r="GR241" s="6"/>
      <c r="GS241" s="6"/>
      <c r="GT241" s="6"/>
      <c r="GU241" s="6"/>
      <c r="GV241" s="6"/>
      <c r="GW241" s="6"/>
      <c r="GX241" s="6"/>
      <c r="GY241" s="6"/>
      <c r="GZ241" s="6"/>
      <c r="HA241" s="6"/>
      <c r="HB241" s="6"/>
      <c r="HC241" s="6"/>
      <c r="HD241" s="6"/>
      <c r="HE241" s="6"/>
      <c r="HF241" s="6"/>
      <c r="HG241" s="6"/>
      <c r="HH241" s="6"/>
      <c r="HI241" s="6"/>
      <c r="HJ241" s="6"/>
      <c r="HK241" s="6"/>
      <c r="HL241" s="6"/>
      <c r="HM241" s="6"/>
      <c r="HN241" s="6"/>
      <c r="HO241" s="6"/>
      <c r="HP241" s="6"/>
      <c r="HQ241" s="6"/>
      <c r="HR241" s="6"/>
      <c r="HS241" s="6"/>
      <c r="HT241" s="6"/>
      <c r="HU241" s="6"/>
      <c r="HV241" s="6"/>
      <c r="HW241" s="6"/>
      <c r="HX241" s="6"/>
      <c r="HY241" s="6"/>
      <c r="HZ241" s="6"/>
      <c r="IA241" s="6"/>
      <c r="IB241" s="6"/>
      <c r="IC241" s="6"/>
      <c r="ID241" s="6"/>
      <c r="IE241" s="6"/>
      <c r="IF241" s="6"/>
      <c r="IG241" s="6"/>
      <c r="IH241" s="6"/>
      <c r="II241" s="6"/>
      <c r="IJ241" s="6"/>
      <c r="IK241" s="6"/>
      <c r="IL241" s="6"/>
      <c r="IM241" s="6"/>
      <c r="IN241" s="6"/>
      <c r="IO241" s="6"/>
      <c r="IP241" s="6"/>
      <c r="IQ241" s="6"/>
      <c r="IR241" s="6"/>
      <c r="IS241" s="6"/>
      <c r="IT241" s="6"/>
      <c r="IU241" s="6"/>
      <c r="IV241" s="6"/>
      <c r="IW241" s="6"/>
      <c r="IX241" s="6"/>
      <c r="IY241" s="6"/>
      <c r="IZ241" s="6"/>
      <c r="JA241" s="6"/>
      <c r="JB241" s="6"/>
      <c r="JC241" s="6"/>
      <c r="JD241" s="6"/>
      <c r="JE241" s="6"/>
      <c r="JF241" s="6"/>
      <c r="JG241" s="6"/>
      <c r="JH241" s="6"/>
      <c r="JI241" s="6"/>
      <c r="JJ241" s="6"/>
      <c r="JK241" s="6"/>
      <c r="JL241" s="6"/>
      <c r="JM241" s="6"/>
      <c r="JN241" s="6"/>
      <c r="JO241" s="6"/>
      <c r="JP241" s="6"/>
      <c r="JQ241" s="6"/>
      <c r="JR241" s="6"/>
      <c r="JS241" s="6"/>
      <c r="JT241" s="6"/>
      <c r="JU241" s="6"/>
      <c r="JV241" s="6"/>
      <c r="JW241" s="6"/>
      <c r="JX241" s="6"/>
      <c r="JY241" s="6"/>
      <c r="JZ241" s="6"/>
      <c r="KA241" s="6"/>
      <c r="KB241" s="6"/>
      <c r="KC241" s="6"/>
      <c r="KD241" s="6"/>
      <c r="KE241" s="6"/>
      <c r="KF241" s="6"/>
      <c r="KG241" s="6"/>
      <c r="KH241" s="6"/>
      <c r="KI241" s="6"/>
      <c r="KJ241" s="6"/>
      <c r="KK241" s="6"/>
      <c r="KL241" s="6"/>
      <c r="KM241" s="6"/>
      <c r="KN241" s="6"/>
      <c r="KO241" s="6"/>
      <c r="KP241" s="6"/>
      <c r="KQ241" s="6"/>
      <c r="KR241" s="6"/>
      <c r="KS241" s="6"/>
      <c r="KT241" s="6"/>
      <c r="KU241" s="6"/>
      <c r="KV241" s="6"/>
      <c r="KW241" s="6"/>
      <c r="KX241" s="6"/>
      <c r="KY241" s="6"/>
      <c r="KZ241" s="6"/>
      <c r="LA241" s="6"/>
      <c r="LB241" s="6"/>
      <c r="LC241" s="6"/>
      <c r="LD241" s="6"/>
      <c r="LE241" s="6"/>
      <c r="LF241" s="6"/>
      <c r="LG241" s="6"/>
      <c r="LH241" s="6"/>
      <c r="LI241" s="6"/>
      <c r="LJ241" s="6"/>
      <c r="LK241" s="6"/>
      <c r="LL241" s="6"/>
      <c r="LM241" s="6"/>
    </row>
    <row r="242" spans="2:325">
      <c r="B242" s="49"/>
      <c r="C242" s="49"/>
      <c r="D242" s="48"/>
      <c r="E242" s="49"/>
      <c r="F242" s="50"/>
      <c r="G242" s="51"/>
      <c r="H242" s="51"/>
      <c r="I242" s="51"/>
      <c r="J242" s="51"/>
      <c r="K242" s="51"/>
      <c r="L242" s="52"/>
      <c r="M242" s="50"/>
      <c r="N242" s="53"/>
      <c r="O242" s="53"/>
      <c r="P242" s="54"/>
      <c r="Q242" s="54"/>
      <c r="R242" s="54"/>
      <c r="S242" s="54"/>
      <c r="T242" s="54"/>
      <c r="U242" s="54"/>
    </row>
    <row r="243" spans="2:325" ht="15" customHeight="1">
      <c r="B243" s="50"/>
      <c r="C243" s="50"/>
      <c r="D243" s="50"/>
      <c r="E243" s="50"/>
      <c r="F243" s="50"/>
      <c r="G243" s="51"/>
      <c r="H243" s="51"/>
      <c r="I243" s="51"/>
      <c r="J243" s="672"/>
      <c r="K243" s="672"/>
      <c r="L243" s="672"/>
      <c r="M243" s="668"/>
      <c r="N243" s="54"/>
      <c r="O243" s="669"/>
      <c r="P243" s="669"/>
      <c r="Q243" s="669"/>
      <c r="R243" s="669"/>
      <c r="S243" s="669"/>
      <c r="T243" s="669"/>
      <c r="U243" s="54"/>
    </row>
    <row r="244" spans="2:325">
      <c r="B244" s="50"/>
      <c r="C244" s="50"/>
      <c r="D244" s="50"/>
      <c r="E244" s="50"/>
      <c r="F244" s="50"/>
      <c r="G244" s="50"/>
      <c r="H244" s="50"/>
      <c r="I244" s="50"/>
      <c r="J244" s="672"/>
      <c r="K244" s="672"/>
      <c r="L244" s="672"/>
      <c r="M244" s="668"/>
      <c r="N244" s="54"/>
      <c r="O244" s="669"/>
      <c r="P244" s="669"/>
      <c r="Q244" s="669"/>
      <c r="R244" s="669"/>
      <c r="S244" s="669"/>
      <c r="T244" s="669"/>
      <c r="U244" s="54"/>
    </row>
    <row r="245" spans="2:325">
      <c r="B245" s="50"/>
      <c r="C245" s="50"/>
      <c r="D245" s="50"/>
      <c r="E245" s="50"/>
      <c r="F245" s="50"/>
      <c r="G245" s="50"/>
      <c r="H245" s="50"/>
      <c r="I245" s="50"/>
      <c r="J245" s="69"/>
      <c r="K245" s="69"/>
      <c r="L245" s="69"/>
      <c r="M245" s="69"/>
      <c r="N245" s="54"/>
      <c r="O245" s="70"/>
      <c r="P245" s="70"/>
      <c r="Q245" s="70"/>
      <c r="R245" s="70"/>
      <c r="S245" s="70"/>
      <c r="T245" s="70"/>
      <c r="U245" s="54"/>
    </row>
    <row r="246" spans="2:325">
      <c r="B246" s="50"/>
      <c r="C246" s="50"/>
      <c r="D246" s="50"/>
      <c r="E246" s="50"/>
      <c r="F246" s="50"/>
      <c r="G246" s="50"/>
      <c r="H246" s="50"/>
      <c r="I246" s="50"/>
      <c r="J246" s="69"/>
      <c r="K246" s="69"/>
      <c r="L246" s="671"/>
      <c r="M246" s="71"/>
      <c r="N246" s="71"/>
      <c r="O246" s="72"/>
      <c r="P246" s="72"/>
      <c r="Q246" s="72"/>
      <c r="R246" s="72"/>
      <c r="S246" s="72"/>
      <c r="T246" s="72"/>
      <c r="U246" s="54"/>
    </row>
    <row r="247" spans="2:325">
      <c r="B247" s="50"/>
      <c r="C247" s="50"/>
      <c r="D247" s="50"/>
      <c r="E247" s="50"/>
      <c r="F247" s="50"/>
      <c r="G247" s="50"/>
      <c r="H247" s="50"/>
      <c r="I247" s="50"/>
      <c r="J247" s="69"/>
      <c r="K247" s="69"/>
      <c r="L247" s="671"/>
      <c r="M247" s="71"/>
      <c r="N247" s="71"/>
      <c r="O247" s="72"/>
      <c r="P247" s="72"/>
      <c r="Q247" s="72"/>
      <c r="R247" s="72"/>
      <c r="S247" s="72"/>
      <c r="T247" s="72"/>
      <c r="U247" s="54"/>
    </row>
    <row r="248" spans="2:325">
      <c r="M248" s="32"/>
    </row>
    <row r="249" spans="2:325">
      <c r="M249" s="32"/>
    </row>
  </sheetData>
  <sheetProtection sheet="1" insertColumns="0" insertRows="0" autoFilter="0"/>
  <mergeCells count="27">
    <mergeCell ref="L246:L247"/>
    <mergeCell ref="J63:J240"/>
    <mergeCell ref="K63:K240"/>
    <mergeCell ref="L63:L240"/>
    <mergeCell ref="J243:L244"/>
    <mergeCell ref="M243:M244"/>
    <mergeCell ref="O243:T244"/>
    <mergeCell ref="J59:J62"/>
    <mergeCell ref="K59:K62"/>
    <mergeCell ref="L59:L62"/>
    <mergeCell ref="C63:C240"/>
    <mergeCell ref="D63:D240"/>
    <mergeCell ref="E63:E240"/>
    <mergeCell ref="F63:F240"/>
    <mergeCell ref="G63:G240"/>
    <mergeCell ref="D3:N3"/>
    <mergeCell ref="D4:N4"/>
    <mergeCell ref="E5:L5"/>
    <mergeCell ref="M5:N5"/>
    <mergeCell ref="H63:H240"/>
    <mergeCell ref="I63:I240"/>
    <mergeCell ref="D59:D62"/>
    <mergeCell ref="E59:E62"/>
    <mergeCell ref="F59:F62"/>
    <mergeCell ref="G59:G62"/>
    <mergeCell ref="H59:H62"/>
    <mergeCell ref="I59:I62"/>
  </mergeCells>
  <phoneticPr fontId="34" type="noConversion"/>
  <conditionalFormatting sqref="C38">
    <cfRule type="cellIs" dxfId="26" priority="9" operator="greaterThan">
      <formula>1</formula>
    </cfRule>
    <cfRule type="cellIs" dxfId="25" priority="10" operator="between">
      <formula>0.951</formula>
      <formula>1</formula>
    </cfRule>
    <cfRule type="cellIs" dxfId="24" priority="11" operator="lessThan">
      <formula>0.85</formula>
    </cfRule>
    <cfRule type="cellIs" dxfId="23" priority="12" operator="between">
      <formula>0.851</formula>
      <formula>0.95</formula>
    </cfRule>
  </conditionalFormatting>
  <conditionalFormatting sqref="C22:D22">
    <cfRule type="cellIs" dxfId="22" priority="21" operator="greaterThan">
      <formula>1</formula>
    </cfRule>
    <cfRule type="cellIs" dxfId="21" priority="22" operator="between">
      <formula>0.951</formula>
      <formula>1</formula>
    </cfRule>
    <cfRule type="cellIs" dxfId="20" priority="23" operator="lessThan">
      <formula>0.85</formula>
    </cfRule>
    <cfRule type="cellIs" dxfId="19" priority="24" operator="between">
      <formula>0.851</formula>
      <formula>0.95</formula>
    </cfRule>
  </conditionalFormatting>
  <conditionalFormatting sqref="G24:K24">
    <cfRule type="cellIs" dxfId="18" priority="13" operator="greaterThan">
      <formula>1</formula>
    </cfRule>
    <cfRule type="cellIs" dxfId="17" priority="14" operator="between">
      <formula>0.951</formula>
      <formula>1</formula>
    </cfRule>
    <cfRule type="cellIs" dxfId="16" priority="15" operator="lessThan">
      <formula>0.85</formula>
    </cfRule>
    <cfRule type="cellIs" dxfId="15" priority="16" operator="between">
      <formula>0.851</formula>
      <formula>0.95</formula>
    </cfRule>
  </conditionalFormatting>
  <conditionalFormatting sqref="G40:K40">
    <cfRule type="cellIs" dxfId="14" priority="5" operator="greaterThan">
      <formula>1</formula>
    </cfRule>
    <cfRule type="cellIs" dxfId="13" priority="6" operator="between">
      <formula>0.951</formula>
      <formula>1</formula>
    </cfRule>
    <cfRule type="cellIs" dxfId="12" priority="7" operator="lessThan">
      <formula>0.85</formula>
    </cfRule>
    <cfRule type="cellIs" dxfId="11" priority="8" operator="between">
      <formula>0.851</formula>
      <formula>0.95</formula>
    </cfRule>
  </conditionalFormatting>
  <conditionalFormatting sqref="G56:L56">
    <cfRule type="cellIs" dxfId="10" priority="1" operator="greaterThan">
      <formula>1</formula>
    </cfRule>
    <cfRule type="cellIs" dxfId="9" priority="2" operator="between">
      <formula>0.951</formula>
      <formula>1</formula>
    </cfRule>
    <cfRule type="cellIs" dxfId="8" priority="3" operator="lessThan">
      <formula>0.85</formula>
    </cfRule>
    <cfRule type="cellIs" dxfId="7" priority="4" operator="between">
      <formula>0.851</formula>
      <formula>0.95</formula>
    </cfRule>
  </conditionalFormatting>
  <conditionalFormatting sqref="P28:T33 P35:T40">
    <cfRule type="cellIs" dxfId="6" priority="29" operator="equal">
      <formula>3</formula>
    </cfRule>
    <cfRule type="cellIs" dxfId="5" priority="30" operator="equal">
      <formula>2</formula>
    </cfRule>
    <cfRule type="cellIs" dxfId="4" priority="31" operator="equal">
      <formula>1</formula>
    </cfRule>
  </conditionalFormatting>
  <conditionalFormatting sqref="P54:T55 P60:T61 P238:T239">
    <cfRule type="cellIs" dxfId="3" priority="26" operator="equal">
      <formula>3</formula>
    </cfRule>
    <cfRule type="cellIs" dxfId="2" priority="27" operator="equal">
      <formula>2</formula>
    </cfRule>
    <cfRule type="cellIs" dxfId="1" priority="28" operator="equal">
      <formula>1</formula>
    </cfRule>
  </conditionalFormatting>
  <dataValidations count="1">
    <dataValidation type="list" allowBlank="1" showInputMessage="1" showErrorMessage="1" sqref="C9" xr:uid="{DDBDF724-EA5F-4463-B182-016B571498EA}">
      <formula1>$MJ$14:$MJ$22</formula1>
    </dataValidation>
  </dataValidations>
  <pageMargins left="0.70866141732283505" right="0.70866141732283505" top="0.74803149606299202" bottom="0.74803149606299202" header="0.31496062992126" footer="0.31496062992126"/>
  <pageSetup paperSize="8" scale="24" orientation="portrait" r:id="rId1"/>
  <rowBreaks count="1" manualBreakCount="1">
    <brk id="74" max="16383" man="1"/>
  </rowBreaks>
  <colBreaks count="1" manualBreakCount="1">
    <brk id="17" max="1048575" man="1"/>
  </colBreaks>
  <drawing r:id="rId2"/>
  <tableParts count="7">
    <tablePart r:id="rId3"/>
    <tablePart r:id="rId4"/>
    <tablePart r:id="rId5"/>
    <tablePart r:id="rId6"/>
    <tablePart r:id="rId7"/>
    <tablePart r:id="rId8"/>
    <tablePart r:id="rId9"/>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F124F-B7D1-4CBA-9477-4FF99F4C6622}">
  <dimension ref="B1:L121"/>
  <sheetViews>
    <sheetView tabSelected="1" topLeftCell="A22" zoomScale="20" zoomScaleNormal="20" workbookViewId="0">
      <selection sqref="A1:L122"/>
    </sheetView>
  </sheetViews>
  <sheetFormatPr baseColWidth="10" defaultRowHeight="15"/>
  <cols>
    <col min="1" max="1" width="2.7109375" customWidth="1"/>
    <col min="2" max="2" width="70.28515625" customWidth="1"/>
    <col min="3" max="3" width="76.7109375" style="328" customWidth="1"/>
    <col min="4" max="4" width="9" style="328" bestFit="1" customWidth="1"/>
    <col min="5" max="12" width="9" bestFit="1" customWidth="1"/>
  </cols>
  <sheetData>
    <row r="1" spans="2:12" hidden="1">
      <c r="B1" t="s">
        <v>603</v>
      </c>
    </row>
    <row r="2" spans="2:12" hidden="1"/>
    <row r="3" spans="2:12" hidden="1">
      <c r="B3" t="s">
        <v>604</v>
      </c>
    </row>
    <row r="4" spans="2:12" hidden="1">
      <c r="B4" t="s">
        <v>605</v>
      </c>
    </row>
    <row r="5" spans="2:12" hidden="1">
      <c r="B5" t="s">
        <v>606</v>
      </c>
    </row>
    <row r="6" spans="2:12" hidden="1">
      <c r="B6" t="s">
        <v>42</v>
      </c>
      <c r="C6" s="328" t="s">
        <v>43</v>
      </c>
      <c r="D6" s="328" t="s">
        <v>616</v>
      </c>
      <c r="E6" t="s">
        <v>617</v>
      </c>
      <c r="F6" t="s">
        <v>618</v>
      </c>
      <c r="G6" t="s">
        <v>619</v>
      </c>
      <c r="H6" t="s">
        <v>620</v>
      </c>
      <c r="I6" t="s">
        <v>621</v>
      </c>
      <c r="J6" t="s">
        <v>622</v>
      </c>
      <c r="K6" t="s">
        <v>623</v>
      </c>
      <c r="L6" t="s">
        <v>624</v>
      </c>
    </row>
    <row r="7" spans="2:12" hidden="1">
      <c r="B7" t="s">
        <v>607</v>
      </c>
      <c r="C7" s="328" t="s">
        <v>609</v>
      </c>
      <c r="D7" s="328">
        <v>1</v>
      </c>
      <c r="E7">
        <v>1</v>
      </c>
      <c r="F7">
        <v>1</v>
      </c>
      <c r="G7">
        <v>0</v>
      </c>
      <c r="H7">
        <v>0</v>
      </c>
      <c r="I7">
        <v>0</v>
      </c>
      <c r="J7">
        <v>0</v>
      </c>
      <c r="K7">
        <v>0</v>
      </c>
      <c r="L7">
        <v>0</v>
      </c>
    </row>
    <row r="8" spans="2:12" hidden="1">
      <c r="B8" t="s">
        <v>607</v>
      </c>
      <c r="C8" s="328" t="s">
        <v>610</v>
      </c>
      <c r="D8" s="328">
        <v>0</v>
      </c>
      <c r="E8">
        <v>1</v>
      </c>
      <c r="F8">
        <v>1</v>
      </c>
      <c r="G8">
        <v>1</v>
      </c>
      <c r="H8">
        <v>1</v>
      </c>
      <c r="I8">
        <v>1</v>
      </c>
      <c r="J8">
        <v>0</v>
      </c>
      <c r="K8">
        <v>0</v>
      </c>
      <c r="L8">
        <v>0</v>
      </c>
    </row>
    <row r="9" spans="2:12" hidden="1">
      <c r="B9" t="s">
        <v>607</v>
      </c>
      <c r="C9" s="328" t="s">
        <v>611</v>
      </c>
      <c r="D9" s="328">
        <v>0</v>
      </c>
      <c r="E9">
        <v>0</v>
      </c>
      <c r="F9">
        <v>0</v>
      </c>
      <c r="G9">
        <v>0</v>
      </c>
      <c r="H9">
        <v>0</v>
      </c>
      <c r="I9">
        <v>1</v>
      </c>
      <c r="J9">
        <v>1</v>
      </c>
      <c r="K9">
        <v>1</v>
      </c>
      <c r="L9">
        <v>1</v>
      </c>
    </row>
    <row r="10" spans="2:12" hidden="1">
      <c r="B10" t="s">
        <v>607</v>
      </c>
      <c r="C10" s="328" t="s">
        <v>612</v>
      </c>
      <c r="D10" s="328">
        <v>1</v>
      </c>
      <c r="E10">
        <v>1</v>
      </c>
      <c r="F10">
        <v>0</v>
      </c>
      <c r="G10">
        <v>0</v>
      </c>
      <c r="H10">
        <v>0</v>
      </c>
      <c r="I10">
        <v>0</v>
      </c>
      <c r="J10">
        <v>1</v>
      </c>
      <c r="K10">
        <v>1</v>
      </c>
      <c r="L10">
        <v>1</v>
      </c>
    </row>
    <row r="11" spans="2:12" hidden="1">
      <c r="B11" t="s">
        <v>608</v>
      </c>
      <c r="C11" s="328" t="s">
        <v>615</v>
      </c>
      <c r="D11" s="328">
        <v>1</v>
      </c>
      <c r="E11">
        <v>1</v>
      </c>
      <c r="F11">
        <v>0</v>
      </c>
      <c r="G11">
        <v>0</v>
      </c>
      <c r="H11">
        <v>0</v>
      </c>
      <c r="I11">
        <v>0</v>
      </c>
      <c r="J11">
        <v>0</v>
      </c>
      <c r="K11">
        <v>0</v>
      </c>
      <c r="L11">
        <v>0</v>
      </c>
    </row>
    <row r="12" spans="2:12" hidden="1">
      <c r="B12" t="s">
        <v>608</v>
      </c>
      <c r="C12" s="328" t="s">
        <v>613</v>
      </c>
      <c r="D12" s="328">
        <v>1</v>
      </c>
      <c r="E12">
        <v>1</v>
      </c>
      <c r="F12">
        <v>1</v>
      </c>
      <c r="G12">
        <v>0</v>
      </c>
      <c r="H12">
        <v>0</v>
      </c>
      <c r="I12">
        <v>0</v>
      </c>
      <c r="J12">
        <v>0</v>
      </c>
      <c r="K12">
        <v>0</v>
      </c>
      <c r="L12">
        <v>0</v>
      </c>
    </row>
    <row r="13" spans="2:12" hidden="1">
      <c r="B13" t="s">
        <v>608</v>
      </c>
      <c r="C13" s="328" t="s">
        <v>614</v>
      </c>
      <c r="D13" s="328">
        <v>0</v>
      </c>
      <c r="E13">
        <v>0</v>
      </c>
      <c r="F13">
        <v>0</v>
      </c>
      <c r="G13">
        <v>0</v>
      </c>
      <c r="H13">
        <v>0</v>
      </c>
      <c r="I13">
        <v>0</v>
      </c>
      <c r="J13">
        <v>1</v>
      </c>
      <c r="K13">
        <v>1</v>
      </c>
      <c r="L13">
        <v>1</v>
      </c>
    </row>
    <row r="14" spans="2:12" hidden="1"/>
    <row r="15" spans="2:12" hidden="1"/>
    <row r="16" spans="2:12" hidden="1">
      <c r="B16" t="s">
        <v>627</v>
      </c>
    </row>
    <row r="17" spans="2:12" hidden="1">
      <c r="B17" t="s">
        <v>625</v>
      </c>
    </row>
    <row r="18" spans="2:12" hidden="1">
      <c r="B18" t="s">
        <v>626</v>
      </c>
    </row>
    <row r="19" spans="2:12" hidden="1">
      <c r="B19" t="s">
        <v>628</v>
      </c>
    </row>
    <row r="20" spans="2:12" hidden="1"/>
    <row r="21" spans="2:12" hidden="1">
      <c r="B21" s="328"/>
    </row>
    <row r="23" spans="2:12" ht="18">
      <c r="B23" s="380" t="s">
        <v>5</v>
      </c>
      <c r="C23" s="381" t="s">
        <v>630</v>
      </c>
      <c r="D23" s="378" t="s">
        <v>616</v>
      </c>
      <c r="E23" s="378" t="s">
        <v>617</v>
      </c>
      <c r="F23" s="378" t="s">
        <v>618</v>
      </c>
      <c r="G23" s="378" t="s">
        <v>619</v>
      </c>
      <c r="H23" s="378" t="s">
        <v>620</v>
      </c>
      <c r="I23" s="378" t="s">
        <v>621</v>
      </c>
      <c r="J23" s="378" t="s">
        <v>622</v>
      </c>
      <c r="K23" s="378" t="s">
        <v>623</v>
      </c>
      <c r="L23" s="378" t="s">
        <v>624</v>
      </c>
    </row>
    <row r="24" spans="2:12" ht="28.5">
      <c r="B24" s="373" t="s">
        <v>200</v>
      </c>
      <c r="C24" s="382" t="s">
        <v>631</v>
      </c>
      <c r="D24" s="379" t="s">
        <v>635</v>
      </c>
      <c r="E24" s="379" t="s">
        <v>635</v>
      </c>
      <c r="F24" s="379" t="s">
        <v>635</v>
      </c>
      <c r="G24" s="379" t="s">
        <v>635</v>
      </c>
      <c r="H24" s="379" t="s">
        <v>635</v>
      </c>
      <c r="I24" s="379" t="s">
        <v>635</v>
      </c>
      <c r="J24" s="379" t="s">
        <v>635</v>
      </c>
      <c r="K24" s="379" t="s">
        <v>635</v>
      </c>
      <c r="L24" s="379" t="s">
        <v>635</v>
      </c>
    </row>
    <row r="25" spans="2:12" ht="28.5">
      <c r="B25" s="373" t="s">
        <v>200</v>
      </c>
      <c r="C25" s="382" t="s">
        <v>632</v>
      </c>
      <c r="D25" s="379"/>
      <c r="E25" s="379" t="s">
        <v>635</v>
      </c>
      <c r="F25" s="379" t="s">
        <v>635</v>
      </c>
      <c r="G25" s="379" t="s">
        <v>635</v>
      </c>
      <c r="H25" s="379" t="s">
        <v>635</v>
      </c>
      <c r="I25" s="379" t="s">
        <v>635</v>
      </c>
      <c r="J25" s="379" t="s">
        <v>635</v>
      </c>
      <c r="K25" s="379" t="s">
        <v>635</v>
      </c>
      <c r="L25" s="379" t="s">
        <v>635</v>
      </c>
    </row>
    <row r="26" spans="2:12" ht="28.5">
      <c r="B26" s="373" t="s">
        <v>200</v>
      </c>
      <c r="C26" s="382" t="s">
        <v>633</v>
      </c>
      <c r="D26" s="379"/>
      <c r="E26" s="379"/>
      <c r="F26" s="379"/>
      <c r="G26" s="379" t="s">
        <v>635</v>
      </c>
      <c r="H26" s="379" t="s">
        <v>635</v>
      </c>
      <c r="I26" s="379" t="s">
        <v>635</v>
      </c>
      <c r="J26" s="379" t="s">
        <v>635</v>
      </c>
      <c r="K26" s="379" t="s">
        <v>635</v>
      </c>
      <c r="L26" s="379" t="s">
        <v>635</v>
      </c>
    </row>
    <row r="27" spans="2:12" ht="28.5">
      <c r="B27" s="373" t="s">
        <v>200</v>
      </c>
      <c r="C27" s="382" t="s">
        <v>634</v>
      </c>
      <c r="D27" s="379"/>
      <c r="E27" s="379"/>
      <c r="F27" s="379"/>
      <c r="G27" s="379"/>
      <c r="H27" s="379"/>
      <c r="I27" s="379"/>
      <c r="J27" s="379" t="s">
        <v>635</v>
      </c>
      <c r="K27" s="379" t="s">
        <v>635</v>
      </c>
      <c r="L27" s="379" t="s">
        <v>635</v>
      </c>
    </row>
    <row r="28" spans="2:12" ht="42.75">
      <c r="B28" s="373" t="s">
        <v>202</v>
      </c>
      <c r="C28" s="382" t="s">
        <v>636</v>
      </c>
      <c r="D28" s="379" t="s">
        <v>635</v>
      </c>
      <c r="E28" s="379"/>
      <c r="F28" s="379"/>
      <c r="G28" s="379"/>
      <c r="H28" s="379"/>
      <c r="I28" s="379"/>
      <c r="J28" s="379"/>
      <c r="K28" s="379"/>
      <c r="L28" s="379"/>
    </row>
    <row r="29" spans="2:12" ht="42.75">
      <c r="B29" s="373" t="s">
        <v>202</v>
      </c>
      <c r="C29" s="382" t="s">
        <v>637</v>
      </c>
      <c r="D29" s="379"/>
      <c r="E29" s="379" t="s">
        <v>635</v>
      </c>
      <c r="F29" s="379"/>
      <c r="G29" s="379"/>
      <c r="H29" s="379"/>
      <c r="I29" s="379"/>
      <c r="J29" s="379"/>
      <c r="K29" s="379"/>
      <c r="L29" s="379"/>
    </row>
    <row r="30" spans="2:12" ht="40.5" customHeight="1">
      <c r="B30" s="373" t="s">
        <v>202</v>
      </c>
      <c r="C30" s="382" t="s">
        <v>638</v>
      </c>
      <c r="D30" s="379"/>
      <c r="E30" s="379"/>
      <c r="F30" s="379" t="s">
        <v>635</v>
      </c>
      <c r="G30" s="379"/>
      <c r="H30" s="379"/>
      <c r="I30" s="379"/>
      <c r="J30" s="379"/>
      <c r="K30" s="379"/>
      <c r="L30" s="379"/>
    </row>
    <row r="31" spans="2:12" ht="24">
      <c r="B31" s="373" t="s">
        <v>732</v>
      </c>
      <c r="C31" s="382" t="s">
        <v>639</v>
      </c>
      <c r="D31" s="379" t="s">
        <v>635</v>
      </c>
      <c r="E31" s="379" t="s">
        <v>635</v>
      </c>
      <c r="F31" s="379" t="s">
        <v>635</v>
      </c>
      <c r="G31" s="379" t="s">
        <v>635</v>
      </c>
      <c r="H31" s="379" t="s">
        <v>635</v>
      </c>
      <c r="I31" s="379" t="s">
        <v>635</v>
      </c>
      <c r="J31" s="379" t="s">
        <v>635</v>
      </c>
      <c r="K31" s="379" t="s">
        <v>635</v>
      </c>
      <c r="L31" s="379" t="s">
        <v>635</v>
      </c>
    </row>
    <row r="32" spans="2:12" ht="24">
      <c r="B32" s="373" t="s">
        <v>732</v>
      </c>
      <c r="C32" s="382" t="s">
        <v>640</v>
      </c>
      <c r="D32" s="379"/>
      <c r="E32" s="379" t="s">
        <v>635</v>
      </c>
      <c r="F32" s="379" t="s">
        <v>635</v>
      </c>
      <c r="G32" s="379" t="s">
        <v>635</v>
      </c>
      <c r="H32" s="379" t="s">
        <v>635</v>
      </c>
      <c r="I32" s="379" t="s">
        <v>635</v>
      </c>
      <c r="J32" s="379" t="s">
        <v>635</v>
      </c>
      <c r="K32" s="379" t="s">
        <v>635</v>
      </c>
      <c r="L32" s="379" t="s">
        <v>635</v>
      </c>
    </row>
    <row r="33" spans="2:12" ht="36">
      <c r="B33" s="373" t="s">
        <v>732</v>
      </c>
      <c r="C33" s="382" t="s">
        <v>641</v>
      </c>
      <c r="D33" s="379"/>
      <c r="E33" s="379"/>
      <c r="F33" s="379"/>
      <c r="G33" s="379" t="s">
        <v>635</v>
      </c>
      <c r="H33" s="379" t="s">
        <v>635</v>
      </c>
      <c r="I33" s="379" t="s">
        <v>635</v>
      </c>
      <c r="J33" s="379" t="s">
        <v>635</v>
      </c>
      <c r="K33" s="379" t="s">
        <v>635</v>
      </c>
      <c r="L33" s="379" t="s">
        <v>635</v>
      </c>
    </row>
    <row r="34" spans="2:12" ht="28.5">
      <c r="B34" s="373" t="s">
        <v>204</v>
      </c>
      <c r="C34" s="382" t="s">
        <v>642</v>
      </c>
      <c r="D34" s="379" t="s">
        <v>635</v>
      </c>
      <c r="E34" s="379"/>
      <c r="F34" s="379"/>
      <c r="G34" s="379"/>
      <c r="H34" s="379"/>
      <c r="I34" s="379"/>
      <c r="J34" s="379"/>
      <c r="K34" s="379"/>
      <c r="L34" s="379"/>
    </row>
    <row r="35" spans="2:12" ht="28.5">
      <c r="B35" s="373" t="s">
        <v>204</v>
      </c>
      <c r="C35" s="382" t="s">
        <v>643</v>
      </c>
      <c r="D35" s="379"/>
      <c r="E35" s="379" t="s">
        <v>635</v>
      </c>
      <c r="F35" s="379" t="s">
        <v>635</v>
      </c>
      <c r="G35" s="379" t="s">
        <v>635</v>
      </c>
      <c r="H35" s="379" t="s">
        <v>635</v>
      </c>
      <c r="I35" s="379" t="s">
        <v>635</v>
      </c>
      <c r="J35" s="379" t="s">
        <v>635</v>
      </c>
      <c r="K35" s="379" t="s">
        <v>635</v>
      </c>
      <c r="L35" s="379" t="s">
        <v>635</v>
      </c>
    </row>
    <row r="36" spans="2:12" ht="28.5">
      <c r="B36" s="373" t="s">
        <v>204</v>
      </c>
      <c r="C36" s="382" t="s">
        <v>644</v>
      </c>
      <c r="D36" s="379"/>
      <c r="E36" s="379"/>
      <c r="F36" s="379"/>
      <c r="G36" s="379" t="s">
        <v>635</v>
      </c>
      <c r="H36" s="379" t="s">
        <v>635</v>
      </c>
      <c r="I36" s="379" t="s">
        <v>635</v>
      </c>
      <c r="J36" s="379" t="s">
        <v>635</v>
      </c>
      <c r="K36" s="379" t="s">
        <v>635</v>
      </c>
      <c r="L36" s="379" t="s">
        <v>635</v>
      </c>
    </row>
    <row r="37" spans="2:12" ht="28.5">
      <c r="B37" s="373" t="s">
        <v>206</v>
      </c>
      <c r="C37" s="382" t="s">
        <v>645</v>
      </c>
      <c r="D37" s="379" t="s">
        <v>635</v>
      </c>
      <c r="E37" s="379"/>
      <c r="F37" s="379"/>
      <c r="G37" s="379"/>
      <c r="H37" s="379"/>
      <c r="I37" s="379"/>
      <c r="J37" s="379"/>
      <c r="K37" s="379"/>
      <c r="L37" s="379"/>
    </row>
    <row r="38" spans="2:12" ht="28.5">
      <c r="B38" s="373" t="s">
        <v>206</v>
      </c>
      <c r="C38" s="382" t="s">
        <v>646</v>
      </c>
      <c r="D38" s="379"/>
      <c r="E38" s="379" t="s">
        <v>635</v>
      </c>
      <c r="F38" s="379" t="s">
        <v>635</v>
      </c>
      <c r="G38" s="379" t="s">
        <v>635</v>
      </c>
      <c r="H38" s="379" t="s">
        <v>635</v>
      </c>
      <c r="I38" s="379" t="s">
        <v>635</v>
      </c>
      <c r="J38" s="379" t="s">
        <v>635</v>
      </c>
      <c r="K38" s="379" t="s">
        <v>635</v>
      </c>
      <c r="L38" s="379" t="s">
        <v>635</v>
      </c>
    </row>
    <row r="39" spans="2:12" ht="48">
      <c r="B39" s="373" t="s">
        <v>206</v>
      </c>
      <c r="C39" s="382" t="s">
        <v>647</v>
      </c>
      <c r="D39" s="379"/>
      <c r="E39" s="379"/>
      <c r="F39" s="379" t="s">
        <v>635</v>
      </c>
      <c r="G39" s="379" t="s">
        <v>635</v>
      </c>
      <c r="H39" s="379" t="s">
        <v>635</v>
      </c>
      <c r="I39" s="379" t="s">
        <v>635</v>
      </c>
      <c r="J39" s="379" t="s">
        <v>635</v>
      </c>
      <c r="K39" s="379" t="s">
        <v>635</v>
      </c>
      <c r="L39" s="379" t="s">
        <v>635</v>
      </c>
    </row>
    <row r="40" spans="2:12" ht="28.5">
      <c r="B40" s="373" t="s">
        <v>206</v>
      </c>
      <c r="C40" s="382" t="s">
        <v>648</v>
      </c>
      <c r="D40" s="379"/>
      <c r="E40" s="379"/>
      <c r="F40" s="379"/>
      <c r="G40" s="379" t="s">
        <v>635</v>
      </c>
      <c r="H40" s="379" t="s">
        <v>635</v>
      </c>
      <c r="I40" s="379" t="s">
        <v>635</v>
      </c>
      <c r="J40" s="379" t="s">
        <v>635</v>
      </c>
      <c r="K40" s="379" t="s">
        <v>635</v>
      </c>
      <c r="L40" s="379" t="s">
        <v>635</v>
      </c>
    </row>
    <row r="41" spans="2:12" ht="36">
      <c r="B41" s="373" t="s">
        <v>649</v>
      </c>
      <c r="C41" s="382" t="s">
        <v>650</v>
      </c>
      <c r="D41" s="379" t="s">
        <v>635</v>
      </c>
      <c r="E41" s="379" t="s">
        <v>635</v>
      </c>
      <c r="F41" s="379"/>
      <c r="G41" s="379"/>
      <c r="H41" s="379"/>
      <c r="I41" s="379"/>
      <c r="J41" s="379"/>
      <c r="K41" s="379"/>
      <c r="L41" s="379"/>
    </row>
    <row r="42" spans="2:12">
      <c r="B42" s="373" t="s">
        <v>649</v>
      </c>
      <c r="C42" s="382" t="s">
        <v>651</v>
      </c>
      <c r="D42" s="379" t="s">
        <v>635</v>
      </c>
      <c r="E42" s="379" t="s">
        <v>635</v>
      </c>
      <c r="F42" s="379" t="s">
        <v>635</v>
      </c>
      <c r="G42" s="379" t="s">
        <v>635</v>
      </c>
      <c r="H42" s="379" t="s">
        <v>635</v>
      </c>
      <c r="I42" s="379" t="s">
        <v>635</v>
      </c>
      <c r="J42" s="379" t="s">
        <v>635</v>
      </c>
      <c r="K42" s="379" t="s">
        <v>635</v>
      </c>
      <c r="L42" s="379" t="s">
        <v>635</v>
      </c>
    </row>
    <row r="43" spans="2:12" ht="36">
      <c r="B43" s="373" t="s">
        <v>649</v>
      </c>
      <c r="C43" s="382" t="s">
        <v>652</v>
      </c>
      <c r="D43" s="379"/>
      <c r="E43" s="379"/>
      <c r="F43" s="379"/>
      <c r="G43" s="379" t="s">
        <v>635</v>
      </c>
      <c r="H43" s="379" t="s">
        <v>635</v>
      </c>
      <c r="I43" s="379" t="s">
        <v>635</v>
      </c>
      <c r="J43" s="379" t="s">
        <v>635</v>
      </c>
      <c r="K43" s="379" t="s">
        <v>635</v>
      </c>
      <c r="L43" s="379" t="s">
        <v>635</v>
      </c>
    </row>
    <row r="44" spans="2:12">
      <c r="B44" s="373" t="s">
        <v>649</v>
      </c>
      <c r="C44" s="382" t="s">
        <v>653</v>
      </c>
      <c r="D44" s="379"/>
      <c r="E44" s="379"/>
      <c r="F44" s="379"/>
      <c r="G44" s="379"/>
      <c r="H44" s="379"/>
      <c r="I44" s="379"/>
      <c r="J44" s="379"/>
      <c r="K44" s="379"/>
      <c r="L44" s="379" t="s">
        <v>635</v>
      </c>
    </row>
    <row r="45" spans="2:12" ht="28.5">
      <c r="B45" s="373" t="s">
        <v>207</v>
      </c>
      <c r="C45" s="382" t="s">
        <v>654</v>
      </c>
      <c r="D45" s="379" t="s">
        <v>635</v>
      </c>
      <c r="E45" s="379" t="s">
        <v>635</v>
      </c>
      <c r="F45" s="379" t="s">
        <v>635</v>
      </c>
      <c r="G45" s="379" t="s">
        <v>635</v>
      </c>
      <c r="H45" s="379" t="s">
        <v>635</v>
      </c>
      <c r="I45" s="379" t="s">
        <v>635</v>
      </c>
      <c r="J45" s="379" t="s">
        <v>635</v>
      </c>
      <c r="K45" s="379" t="s">
        <v>635</v>
      </c>
      <c r="L45" s="379" t="s">
        <v>635</v>
      </c>
    </row>
    <row r="46" spans="2:12" ht="28.5">
      <c r="B46" s="373" t="s">
        <v>207</v>
      </c>
      <c r="C46" s="382" t="s">
        <v>655</v>
      </c>
      <c r="D46" s="379"/>
      <c r="E46" s="379"/>
      <c r="F46" s="379" t="s">
        <v>635</v>
      </c>
      <c r="G46" s="379" t="s">
        <v>635</v>
      </c>
      <c r="H46" s="379" t="s">
        <v>635</v>
      </c>
      <c r="I46" s="379" t="s">
        <v>635</v>
      </c>
      <c r="J46" s="379" t="s">
        <v>635</v>
      </c>
      <c r="K46" s="379" t="s">
        <v>635</v>
      </c>
      <c r="L46" s="379" t="s">
        <v>635</v>
      </c>
    </row>
    <row r="47" spans="2:12" ht="28.5">
      <c r="B47" s="373" t="s">
        <v>207</v>
      </c>
      <c r="C47" s="382" t="s">
        <v>656</v>
      </c>
      <c r="D47" s="379"/>
      <c r="E47" s="379"/>
      <c r="F47" s="379"/>
      <c r="G47" s="379" t="s">
        <v>635</v>
      </c>
      <c r="H47" s="379" t="s">
        <v>635</v>
      </c>
      <c r="I47" s="379" t="s">
        <v>635</v>
      </c>
      <c r="J47" s="379" t="s">
        <v>635</v>
      </c>
      <c r="K47" s="379" t="s">
        <v>635</v>
      </c>
      <c r="L47" s="379" t="s">
        <v>635</v>
      </c>
    </row>
    <row r="48" spans="2:12" ht="28.5">
      <c r="B48" s="374" t="s">
        <v>208</v>
      </c>
      <c r="C48" s="383" t="s">
        <v>657</v>
      </c>
      <c r="D48" s="379"/>
      <c r="E48" s="379" t="s">
        <v>635</v>
      </c>
      <c r="F48" s="379"/>
      <c r="G48" s="379"/>
      <c r="H48" s="379"/>
      <c r="I48" s="379"/>
      <c r="J48" s="379"/>
      <c r="K48" s="379"/>
      <c r="L48" s="379"/>
    </row>
    <row r="49" spans="2:12" ht="28.5">
      <c r="B49" s="374" t="s">
        <v>208</v>
      </c>
      <c r="C49" s="383" t="s">
        <v>658</v>
      </c>
      <c r="D49" s="379"/>
      <c r="E49" s="379"/>
      <c r="F49" s="379" t="s">
        <v>635</v>
      </c>
      <c r="G49" s="379" t="s">
        <v>635</v>
      </c>
      <c r="H49" s="379" t="s">
        <v>635</v>
      </c>
      <c r="I49" s="379" t="s">
        <v>635</v>
      </c>
      <c r="J49" s="379" t="s">
        <v>635</v>
      </c>
      <c r="K49" s="379" t="s">
        <v>635</v>
      </c>
      <c r="L49" s="379" t="s">
        <v>635</v>
      </c>
    </row>
    <row r="50" spans="2:12" ht="28.5">
      <c r="B50" s="374" t="s">
        <v>208</v>
      </c>
      <c r="C50" s="383" t="s">
        <v>659</v>
      </c>
      <c r="D50" s="379"/>
      <c r="E50" s="379"/>
      <c r="F50" s="379"/>
      <c r="G50" s="379" t="s">
        <v>635</v>
      </c>
      <c r="H50" s="379" t="s">
        <v>635</v>
      </c>
      <c r="I50" s="379" t="s">
        <v>635</v>
      </c>
      <c r="J50" s="379" t="s">
        <v>635</v>
      </c>
      <c r="K50" s="379" t="s">
        <v>635</v>
      </c>
      <c r="L50" s="379" t="s">
        <v>635</v>
      </c>
    </row>
    <row r="51" spans="2:12" ht="28.5">
      <c r="B51" s="374" t="s">
        <v>209</v>
      </c>
      <c r="C51" s="383" t="s">
        <v>660</v>
      </c>
      <c r="D51" s="379" t="s">
        <v>635</v>
      </c>
      <c r="E51" s="379"/>
      <c r="F51" s="379"/>
      <c r="G51" s="379"/>
      <c r="H51" s="379"/>
      <c r="I51" s="379"/>
      <c r="J51" s="379"/>
      <c r="K51" s="379"/>
      <c r="L51" s="379"/>
    </row>
    <row r="52" spans="2:12" ht="28.5">
      <c r="B52" s="374" t="s">
        <v>209</v>
      </c>
      <c r="C52" s="383" t="s">
        <v>661</v>
      </c>
      <c r="D52" s="379"/>
      <c r="E52" s="379"/>
      <c r="F52" s="379" t="s">
        <v>635</v>
      </c>
      <c r="G52" s="379" t="s">
        <v>635</v>
      </c>
      <c r="H52" s="379" t="s">
        <v>635</v>
      </c>
      <c r="I52" s="379" t="s">
        <v>635</v>
      </c>
      <c r="J52" s="379" t="s">
        <v>635</v>
      </c>
      <c r="K52" s="379" t="s">
        <v>635</v>
      </c>
      <c r="L52" s="379" t="s">
        <v>635</v>
      </c>
    </row>
    <row r="53" spans="2:12" ht="28.5">
      <c r="B53" s="374" t="s">
        <v>209</v>
      </c>
      <c r="C53" s="383" t="s">
        <v>662</v>
      </c>
      <c r="D53" s="379"/>
      <c r="E53" s="379"/>
      <c r="F53" s="379"/>
      <c r="G53" s="379" t="s">
        <v>635</v>
      </c>
      <c r="H53" s="379" t="s">
        <v>635</v>
      </c>
      <c r="I53" s="379" t="s">
        <v>635</v>
      </c>
      <c r="J53" s="379" t="s">
        <v>635</v>
      </c>
      <c r="K53" s="379" t="s">
        <v>635</v>
      </c>
      <c r="L53" s="379" t="s">
        <v>635</v>
      </c>
    </row>
    <row r="54" spans="2:12" ht="28.5">
      <c r="B54" s="374" t="s">
        <v>209</v>
      </c>
      <c r="C54" s="383" t="s">
        <v>663</v>
      </c>
      <c r="D54" s="379"/>
      <c r="E54" s="379"/>
      <c r="F54" s="379"/>
      <c r="G54" s="379"/>
      <c r="H54" s="379" t="s">
        <v>635</v>
      </c>
      <c r="I54" s="379" t="s">
        <v>635</v>
      </c>
      <c r="J54" s="379" t="s">
        <v>635</v>
      </c>
      <c r="K54" s="379" t="s">
        <v>635</v>
      </c>
      <c r="L54" s="379" t="s">
        <v>635</v>
      </c>
    </row>
    <row r="55" spans="2:12" ht="24">
      <c r="B55" s="374" t="s">
        <v>731</v>
      </c>
      <c r="C55" s="383" t="s">
        <v>664</v>
      </c>
      <c r="D55" s="379" t="s">
        <v>635</v>
      </c>
      <c r="E55" s="379"/>
      <c r="F55" s="379"/>
      <c r="G55" s="379"/>
      <c r="H55" s="379"/>
      <c r="I55" s="379"/>
      <c r="J55" s="379"/>
      <c r="K55" s="379"/>
      <c r="L55" s="379"/>
    </row>
    <row r="56" spans="2:12">
      <c r="B56" s="374" t="s">
        <v>731</v>
      </c>
      <c r="C56" s="383" t="s">
        <v>665</v>
      </c>
      <c r="D56" s="379"/>
      <c r="E56" s="379"/>
      <c r="F56" s="379"/>
      <c r="G56" s="379" t="s">
        <v>635</v>
      </c>
      <c r="H56" s="379"/>
      <c r="I56" s="379"/>
      <c r="J56" s="379"/>
      <c r="K56" s="379"/>
      <c r="L56" s="379"/>
    </row>
    <row r="57" spans="2:12" ht="24">
      <c r="B57" s="374" t="s">
        <v>211</v>
      </c>
      <c r="C57" s="383" t="s">
        <v>666</v>
      </c>
      <c r="D57" s="379" t="s">
        <v>635</v>
      </c>
      <c r="E57" s="379" t="s">
        <v>635</v>
      </c>
      <c r="F57" s="379" t="s">
        <v>635</v>
      </c>
      <c r="G57" s="379" t="s">
        <v>635</v>
      </c>
      <c r="H57" s="379" t="s">
        <v>635</v>
      </c>
      <c r="I57" s="379" t="s">
        <v>635</v>
      </c>
      <c r="J57" s="379" t="s">
        <v>635</v>
      </c>
      <c r="K57" s="379" t="s">
        <v>635</v>
      </c>
      <c r="L57" s="379" t="s">
        <v>635</v>
      </c>
    </row>
    <row r="58" spans="2:12">
      <c r="B58" s="374" t="s">
        <v>211</v>
      </c>
      <c r="C58" s="383" t="s">
        <v>667</v>
      </c>
      <c r="D58" s="379"/>
      <c r="E58" s="379" t="s">
        <v>635</v>
      </c>
      <c r="F58" s="379" t="s">
        <v>635</v>
      </c>
      <c r="G58" s="379" t="s">
        <v>635</v>
      </c>
      <c r="H58" s="379" t="s">
        <v>635</v>
      </c>
      <c r="I58" s="379" t="s">
        <v>635</v>
      </c>
      <c r="J58" s="379" t="s">
        <v>635</v>
      </c>
      <c r="K58" s="379" t="s">
        <v>635</v>
      </c>
      <c r="L58" s="379" t="s">
        <v>635</v>
      </c>
    </row>
    <row r="59" spans="2:12" ht="24">
      <c r="B59" s="374" t="s">
        <v>211</v>
      </c>
      <c r="C59" s="383" t="s">
        <v>668</v>
      </c>
      <c r="D59" s="379"/>
      <c r="E59" s="379"/>
      <c r="F59" s="379"/>
      <c r="G59" s="379"/>
      <c r="H59" s="379" t="s">
        <v>635</v>
      </c>
      <c r="I59" s="379" t="s">
        <v>635</v>
      </c>
      <c r="J59" s="379" t="s">
        <v>635</v>
      </c>
      <c r="K59" s="379" t="s">
        <v>635</v>
      </c>
      <c r="L59" s="379" t="s">
        <v>635</v>
      </c>
    </row>
    <row r="60" spans="2:12">
      <c r="B60" s="374" t="s">
        <v>211</v>
      </c>
      <c r="C60" s="383" t="s">
        <v>669</v>
      </c>
      <c r="D60" s="379"/>
      <c r="E60" s="379"/>
      <c r="F60" s="379"/>
      <c r="G60" s="379"/>
      <c r="H60" s="379" t="s">
        <v>635</v>
      </c>
      <c r="I60" s="379" t="s">
        <v>635</v>
      </c>
      <c r="J60" s="379" t="s">
        <v>635</v>
      </c>
      <c r="K60" s="379" t="s">
        <v>635</v>
      </c>
      <c r="L60" s="379" t="s">
        <v>635</v>
      </c>
    </row>
    <row r="61" spans="2:12" ht="28.5">
      <c r="B61" s="374" t="s">
        <v>733</v>
      </c>
      <c r="C61" s="383" t="s">
        <v>670</v>
      </c>
      <c r="D61" s="379" t="s">
        <v>635</v>
      </c>
      <c r="E61" s="379" t="s">
        <v>635</v>
      </c>
      <c r="F61" s="379" t="s">
        <v>635</v>
      </c>
      <c r="G61" s="379" t="s">
        <v>635</v>
      </c>
      <c r="H61" s="379" t="s">
        <v>635</v>
      </c>
      <c r="I61" s="379" t="s">
        <v>635</v>
      </c>
      <c r="J61" s="379" t="s">
        <v>635</v>
      </c>
      <c r="K61" s="379" t="s">
        <v>635</v>
      </c>
      <c r="L61" s="379" t="s">
        <v>635</v>
      </c>
    </row>
    <row r="62" spans="2:12" ht="28.5">
      <c r="B62" s="374" t="s">
        <v>733</v>
      </c>
      <c r="C62" s="383" t="s">
        <v>671</v>
      </c>
      <c r="D62" s="379"/>
      <c r="E62" s="379" t="s">
        <v>635</v>
      </c>
      <c r="F62" s="379" t="s">
        <v>635</v>
      </c>
      <c r="G62" s="379" t="s">
        <v>635</v>
      </c>
      <c r="H62" s="379" t="s">
        <v>635</v>
      </c>
      <c r="I62" s="379" t="s">
        <v>635</v>
      </c>
      <c r="J62" s="379" t="s">
        <v>635</v>
      </c>
      <c r="K62" s="379" t="s">
        <v>635</v>
      </c>
      <c r="L62" s="379" t="s">
        <v>635</v>
      </c>
    </row>
    <row r="63" spans="2:12" ht="28.5">
      <c r="B63" s="374" t="s">
        <v>733</v>
      </c>
      <c r="C63" s="383" t="s">
        <v>672</v>
      </c>
      <c r="D63" s="379"/>
      <c r="E63" s="379"/>
      <c r="F63" s="379"/>
      <c r="G63" s="379" t="s">
        <v>635</v>
      </c>
      <c r="H63" s="379" t="s">
        <v>635</v>
      </c>
      <c r="I63" s="379" t="s">
        <v>635</v>
      </c>
      <c r="J63" s="379" t="s">
        <v>635</v>
      </c>
      <c r="K63" s="379" t="s">
        <v>635</v>
      </c>
      <c r="L63" s="379" t="s">
        <v>635</v>
      </c>
    </row>
    <row r="64" spans="2:12" ht="28.5">
      <c r="B64" s="374" t="s">
        <v>212</v>
      </c>
      <c r="C64" s="383" t="s">
        <v>673</v>
      </c>
      <c r="D64" s="379" t="s">
        <v>635</v>
      </c>
      <c r="E64" s="379" t="s">
        <v>635</v>
      </c>
      <c r="F64" s="379" t="s">
        <v>635</v>
      </c>
      <c r="G64" s="379" t="s">
        <v>635</v>
      </c>
      <c r="H64" s="379" t="s">
        <v>635</v>
      </c>
      <c r="I64" s="379" t="s">
        <v>635</v>
      </c>
      <c r="J64" s="379" t="s">
        <v>635</v>
      </c>
      <c r="K64" s="379" t="s">
        <v>635</v>
      </c>
      <c r="L64" s="379" t="s">
        <v>635</v>
      </c>
    </row>
    <row r="65" spans="2:12" ht="28.5">
      <c r="B65" s="374" t="s">
        <v>212</v>
      </c>
      <c r="C65" s="383" t="s">
        <v>674</v>
      </c>
      <c r="D65" s="379"/>
      <c r="E65" s="379" t="s">
        <v>635</v>
      </c>
      <c r="F65" s="379" t="s">
        <v>635</v>
      </c>
      <c r="G65" s="379" t="s">
        <v>635</v>
      </c>
      <c r="H65" s="379" t="s">
        <v>635</v>
      </c>
      <c r="I65" s="379" t="s">
        <v>635</v>
      </c>
      <c r="J65" s="379" t="s">
        <v>635</v>
      </c>
      <c r="K65" s="379" t="s">
        <v>635</v>
      </c>
      <c r="L65" s="379" t="s">
        <v>635</v>
      </c>
    </row>
    <row r="66" spans="2:12" ht="28.5">
      <c r="B66" s="374" t="s">
        <v>212</v>
      </c>
      <c r="C66" s="383" t="s">
        <v>675</v>
      </c>
      <c r="D66" s="379"/>
      <c r="E66" s="379"/>
      <c r="F66" s="379"/>
      <c r="G66" s="379" t="s">
        <v>635</v>
      </c>
      <c r="H66" s="379" t="s">
        <v>635</v>
      </c>
      <c r="I66" s="379" t="s">
        <v>635</v>
      </c>
      <c r="J66" s="379" t="s">
        <v>635</v>
      </c>
      <c r="K66" s="379" t="s">
        <v>635</v>
      </c>
      <c r="L66" s="379" t="s">
        <v>635</v>
      </c>
    </row>
    <row r="67" spans="2:12" ht="28.5">
      <c r="B67" s="374" t="s">
        <v>212</v>
      </c>
      <c r="C67" s="383" t="s">
        <v>676</v>
      </c>
      <c r="D67" s="379"/>
      <c r="E67" s="379"/>
      <c r="F67" s="379"/>
      <c r="G67" s="379" t="s">
        <v>635</v>
      </c>
      <c r="H67" s="379" t="s">
        <v>635</v>
      </c>
      <c r="I67" s="379" t="s">
        <v>635</v>
      </c>
      <c r="J67" s="379" t="s">
        <v>635</v>
      </c>
      <c r="K67" s="379" t="s">
        <v>635</v>
      </c>
      <c r="L67" s="379" t="s">
        <v>635</v>
      </c>
    </row>
    <row r="68" spans="2:12" ht="42.75">
      <c r="B68" s="374" t="s">
        <v>734</v>
      </c>
      <c r="C68" s="383" t="s">
        <v>680</v>
      </c>
      <c r="D68" s="379"/>
      <c r="E68" s="379" t="s">
        <v>635</v>
      </c>
      <c r="F68" s="379" t="s">
        <v>635</v>
      </c>
      <c r="G68" s="379" t="s">
        <v>635</v>
      </c>
      <c r="H68" s="379" t="s">
        <v>635</v>
      </c>
      <c r="I68" s="379" t="s">
        <v>635</v>
      </c>
      <c r="J68" s="379" t="s">
        <v>635</v>
      </c>
      <c r="K68" s="379" t="s">
        <v>635</v>
      </c>
      <c r="L68" s="379" t="s">
        <v>635</v>
      </c>
    </row>
    <row r="69" spans="2:12" ht="42.75">
      <c r="B69" s="374" t="s">
        <v>734</v>
      </c>
      <c r="C69" s="383" t="s">
        <v>681</v>
      </c>
      <c r="D69" s="379"/>
      <c r="E69" s="379"/>
      <c r="F69" s="379"/>
      <c r="G69" s="379" t="s">
        <v>635</v>
      </c>
      <c r="H69" s="379" t="s">
        <v>635</v>
      </c>
      <c r="I69" s="379" t="s">
        <v>635</v>
      </c>
      <c r="J69" s="379" t="s">
        <v>635</v>
      </c>
      <c r="K69" s="379" t="s">
        <v>635</v>
      </c>
      <c r="L69" s="379" t="s">
        <v>635</v>
      </c>
    </row>
    <row r="70" spans="2:12" ht="42.75">
      <c r="B70" s="374" t="s">
        <v>734</v>
      </c>
      <c r="C70" s="383" t="s">
        <v>682</v>
      </c>
      <c r="D70" s="379"/>
      <c r="E70" s="379"/>
      <c r="F70" s="379"/>
      <c r="G70" s="379"/>
      <c r="H70" s="379" t="s">
        <v>635</v>
      </c>
      <c r="I70" s="379" t="s">
        <v>635</v>
      </c>
      <c r="J70" s="379" t="s">
        <v>635</v>
      </c>
      <c r="K70" s="379" t="s">
        <v>635</v>
      </c>
      <c r="L70" s="379" t="s">
        <v>635</v>
      </c>
    </row>
    <row r="71" spans="2:12" ht="28.5">
      <c r="B71" s="374" t="s">
        <v>735</v>
      </c>
      <c r="C71" s="383" t="s">
        <v>677</v>
      </c>
      <c r="D71" s="379"/>
      <c r="E71" s="379"/>
      <c r="F71" s="379"/>
      <c r="G71" s="379" t="s">
        <v>635</v>
      </c>
      <c r="H71" s="379" t="s">
        <v>635</v>
      </c>
      <c r="I71" s="379" t="s">
        <v>635</v>
      </c>
      <c r="J71" s="379" t="s">
        <v>635</v>
      </c>
      <c r="K71" s="379" t="s">
        <v>635</v>
      </c>
      <c r="L71" s="379" t="s">
        <v>635</v>
      </c>
    </row>
    <row r="72" spans="2:12" ht="28.5">
      <c r="B72" s="374" t="s">
        <v>735</v>
      </c>
      <c r="C72" s="383" t="s">
        <v>678</v>
      </c>
      <c r="D72" s="379"/>
      <c r="E72" s="379"/>
      <c r="F72" s="379"/>
      <c r="G72" s="379" t="s">
        <v>635</v>
      </c>
      <c r="H72" s="379" t="s">
        <v>635</v>
      </c>
      <c r="I72" s="379" t="s">
        <v>635</v>
      </c>
      <c r="J72" s="379" t="s">
        <v>635</v>
      </c>
      <c r="K72" s="379" t="s">
        <v>635</v>
      </c>
      <c r="L72" s="379" t="s">
        <v>635</v>
      </c>
    </row>
    <row r="73" spans="2:12" ht="28.5">
      <c r="B73" s="374" t="s">
        <v>735</v>
      </c>
      <c r="C73" s="383" t="s">
        <v>679</v>
      </c>
      <c r="D73" s="379"/>
      <c r="E73" s="379"/>
      <c r="F73" s="379"/>
      <c r="G73" s="379" t="s">
        <v>635</v>
      </c>
      <c r="H73" s="379" t="s">
        <v>635</v>
      </c>
      <c r="I73" s="379" t="s">
        <v>635</v>
      </c>
      <c r="J73" s="379" t="s">
        <v>635</v>
      </c>
      <c r="K73" s="379" t="s">
        <v>635</v>
      </c>
      <c r="L73" s="379" t="s">
        <v>635</v>
      </c>
    </row>
    <row r="74" spans="2:12" ht="28.5">
      <c r="B74" s="375" t="s">
        <v>215</v>
      </c>
      <c r="C74" s="384" t="s">
        <v>683</v>
      </c>
      <c r="D74" s="379" t="s">
        <v>635</v>
      </c>
      <c r="E74" s="379" t="s">
        <v>635</v>
      </c>
      <c r="F74" s="379" t="s">
        <v>635</v>
      </c>
      <c r="G74" s="379" t="s">
        <v>635</v>
      </c>
      <c r="H74" s="379" t="s">
        <v>635</v>
      </c>
      <c r="I74" s="379" t="s">
        <v>635</v>
      </c>
      <c r="J74" s="379" t="s">
        <v>635</v>
      </c>
      <c r="K74" s="379" t="s">
        <v>635</v>
      </c>
      <c r="L74" s="379" t="s">
        <v>635</v>
      </c>
    </row>
    <row r="75" spans="2:12" ht="28.5">
      <c r="B75" s="375" t="s">
        <v>215</v>
      </c>
      <c r="C75" s="384" t="s">
        <v>684</v>
      </c>
      <c r="D75" s="379"/>
      <c r="E75" s="379" t="s">
        <v>635</v>
      </c>
      <c r="F75" s="379"/>
      <c r="G75" s="379"/>
      <c r="H75" s="379"/>
      <c r="I75" s="379"/>
      <c r="J75" s="379"/>
      <c r="K75" s="379"/>
      <c r="L75" s="379"/>
    </row>
    <row r="76" spans="2:12" ht="28.5">
      <c r="B76" s="375" t="s">
        <v>215</v>
      </c>
      <c r="C76" s="384" t="s">
        <v>685</v>
      </c>
      <c r="D76" s="379"/>
      <c r="E76" s="379" t="s">
        <v>635</v>
      </c>
      <c r="F76" s="379"/>
      <c r="G76" s="379"/>
      <c r="H76" s="379"/>
      <c r="I76" s="379"/>
      <c r="J76" s="379"/>
      <c r="K76" s="379"/>
      <c r="L76" s="379"/>
    </row>
    <row r="77" spans="2:12" ht="28.5">
      <c r="B77" s="375" t="s">
        <v>215</v>
      </c>
      <c r="C77" s="384" t="s">
        <v>686</v>
      </c>
      <c r="D77" s="379"/>
      <c r="E77" s="379"/>
      <c r="F77" s="379"/>
      <c r="G77" s="379" t="s">
        <v>635</v>
      </c>
      <c r="H77" s="379" t="s">
        <v>635</v>
      </c>
      <c r="I77" s="379" t="s">
        <v>635</v>
      </c>
      <c r="J77" s="379" t="s">
        <v>635</v>
      </c>
      <c r="K77" s="379" t="s">
        <v>635</v>
      </c>
      <c r="L77" s="379" t="s">
        <v>635</v>
      </c>
    </row>
    <row r="78" spans="2:12">
      <c r="B78" s="375" t="s">
        <v>216</v>
      </c>
      <c r="C78" s="384" t="s">
        <v>687</v>
      </c>
      <c r="D78" s="379" t="s">
        <v>635</v>
      </c>
      <c r="E78" s="379" t="s">
        <v>635</v>
      </c>
      <c r="F78" s="379" t="s">
        <v>635</v>
      </c>
      <c r="G78" s="379" t="s">
        <v>635</v>
      </c>
      <c r="H78" s="379" t="s">
        <v>635</v>
      </c>
      <c r="I78" s="379" t="s">
        <v>635</v>
      </c>
      <c r="J78" s="379" t="s">
        <v>635</v>
      </c>
      <c r="K78" s="379" t="s">
        <v>635</v>
      </c>
      <c r="L78" s="379" t="s">
        <v>635</v>
      </c>
    </row>
    <row r="79" spans="2:12" ht="24">
      <c r="B79" s="375" t="s">
        <v>216</v>
      </c>
      <c r="C79" s="384" t="s">
        <v>688</v>
      </c>
      <c r="D79" s="379" t="s">
        <v>635</v>
      </c>
      <c r="E79" s="379" t="s">
        <v>635</v>
      </c>
      <c r="F79" s="379" t="s">
        <v>635</v>
      </c>
      <c r="G79" s="379" t="s">
        <v>635</v>
      </c>
      <c r="H79" s="379" t="s">
        <v>635</v>
      </c>
      <c r="I79" s="379" t="s">
        <v>635</v>
      </c>
      <c r="J79" s="379" t="s">
        <v>635</v>
      </c>
      <c r="K79" s="379" t="s">
        <v>635</v>
      </c>
      <c r="L79" s="379" t="s">
        <v>635</v>
      </c>
    </row>
    <row r="80" spans="2:12" ht="24">
      <c r="B80" s="375" t="s">
        <v>216</v>
      </c>
      <c r="C80" s="384" t="s">
        <v>689</v>
      </c>
      <c r="D80" s="379" t="s">
        <v>635</v>
      </c>
      <c r="E80" s="379" t="s">
        <v>635</v>
      </c>
      <c r="F80" s="379" t="s">
        <v>635</v>
      </c>
      <c r="G80" s="379" t="s">
        <v>635</v>
      </c>
      <c r="H80" s="379" t="s">
        <v>635</v>
      </c>
      <c r="I80" s="379" t="s">
        <v>635</v>
      </c>
      <c r="J80" s="379" t="s">
        <v>635</v>
      </c>
      <c r="K80" s="379" t="s">
        <v>635</v>
      </c>
      <c r="L80" s="379" t="s">
        <v>635</v>
      </c>
    </row>
    <row r="81" spans="2:12">
      <c r="B81" s="375" t="s">
        <v>217</v>
      </c>
      <c r="C81" s="384" t="s">
        <v>690</v>
      </c>
      <c r="D81" s="379" t="s">
        <v>635</v>
      </c>
      <c r="E81" s="379" t="s">
        <v>635</v>
      </c>
      <c r="F81" s="379" t="s">
        <v>635</v>
      </c>
      <c r="G81" s="379" t="s">
        <v>635</v>
      </c>
      <c r="H81" s="379" t="s">
        <v>635</v>
      </c>
      <c r="I81" s="379" t="s">
        <v>635</v>
      </c>
      <c r="J81" s="379" t="s">
        <v>635</v>
      </c>
      <c r="K81" s="379" t="s">
        <v>635</v>
      </c>
      <c r="L81" s="379" t="s">
        <v>635</v>
      </c>
    </row>
    <row r="82" spans="2:12" ht="24">
      <c r="B82" s="375" t="s">
        <v>217</v>
      </c>
      <c r="C82" s="384" t="s">
        <v>691</v>
      </c>
      <c r="D82" s="379"/>
      <c r="E82" s="379"/>
      <c r="F82" s="379" t="s">
        <v>635</v>
      </c>
      <c r="G82" s="379" t="s">
        <v>635</v>
      </c>
      <c r="H82" s="379" t="s">
        <v>635</v>
      </c>
      <c r="I82" s="379" t="s">
        <v>635</v>
      </c>
      <c r="J82" s="379" t="s">
        <v>635</v>
      </c>
      <c r="K82" s="379" t="s">
        <v>635</v>
      </c>
      <c r="L82" s="379" t="s">
        <v>635</v>
      </c>
    </row>
    <row r="83" spans="2:12">
      <c r="B83" s="375" t="s">
        <v>217</v>
      </c>
      <c r="C83" s="384" t="s">
        <v>692</v>
      </c>
      <c r="D83" s="379"/>
      <c r="E83" s="379"/>
      <c r="F83" s="379"/>
      <c r="G83" s="379" t="s">
        <v>635</v>
      </c>
      <c r="H83" s="379" t="s">
        <v>635</v>
      </c>
      <c r="I83" s="379" t="s">
        <v>635</v>
      </c>
      <c r="J83" s="379" t="s">
        <v>635</v>
      </c>
      <c r="K83" s="379" t="s">
        <v>635</v>
      </c>
      <c r="L83" s="379" t="s">
        <v>635</v>
      </c>
    </row>
    <row r="84" spans="2:12" ht="36">
      <c r="B84" s="375" t="s">
        <v>195</v>
      </c>
      <c r="C84" s="384" t="s">
        <v>693</v>
      </c>
      <c r="D84" s="379"/>
      <c r="E84" s="379"/>
      <c r="F84" s="379" t="s">
        <v>635</v>
      </c>
      <c r="G84" s="379"/>
      <c r="H84" s="379"/>
      <c r="I84" s="379"/>
      <c r="J84" s="379"/>
      <c r="K84" s="379"/>
      <c r="L84" s="379"/>
    </row>
    <row r="85" spans="2:12" ht="28.5">
      <c r="B85" s="375" t="s">
        <v>195</v>
      </c>
      <c r="C85" s="384" t="s">
        <v>694</v>
      </c>
      <c r="D85" s="379"/>
      <c r="E85" s="379"/>
      <c r="F85" s="379"/>
      <c r="G85" s="379" t="s">
        <v>635</v>
      </c>
      <c r="H85" s="379" t="s">
        <v>635</v>
      </c>
      <c r="I85" s="379" t="s">
        <v>635</v>
      </c>
      <c r="J85" s="379" t="s">
        <v>635</v>
      </c>
      <c r="K85" s="379" t="s">
        <v>635</v>
      </c>
      <c r="L85" s="379" t="s">
        <v>635</v>
      </c>
    </row>
    <row r="86" spans="2:12" ht="28.5">
      <c r="B86" s="375" t="s">
        <v>195</v>
      </c>
      <c r="C86" s="384" t="s">
        <v>695</v>
      </c>
      <c r="D86" s="379"/>
      <c r="E86" s="379"/>
      <c r="F86" s="379"/>
      <c r="G86" s="379" t="s">
        <v>635</v>
      </c>
      <c r="H86" s="379" t="s">
        <v>635</v>
      </c>
      <c r="I86" s="379" t="s">
        <v>635</v>
      </c>
      <c r="J86" s="379" t="s">
        <v>635</v>
      </c>
      <c r="K86" s="379" t="s">
        <v>635</v>
      </c>
      <c r="L86" s="379" t="s">
        <v>635</v>
      </c>
    </row>
    <row r="87" spans="2:12">
      <c r="B87" s="375" t="s">
        <v>629</v>
      </c>
      <c r="C87" s="384" t="s">
        <v>696</v>
      </c>
      <c r="D87" s="379" t="s">
        <v>635</v>
      </c>
      <c r="E87" s="379" t="s">
        <v>635</v>
      </c>
      <c r="F87" s="379" t="s">
        <v>635</v>
      </c>
      <c r="G87" s="379" t="s">
        <v>635</v>
      </c>
      <c r="H87" s="379" t="s">
        <v>635</v>
      </c>
      <c r="I87" s="379" t="s">
        <v>635</v>
      </c>
      <c r="J87" s="379" t="s">
        <v>635</v>
      </c>
      <c r="K87" s="379" t="s">
        <v>635</v>
      </c>
      <c r="L87" s="379" t="s">
        <v>635</v>
      </c>
    </row>
    <row r="88" spans="2:12" ht="24">
      <c r="B88" s="375" t="s">
        <v>629</v>
      </c>
      <c r="C88" s="384" t="s">
        <v>697</v>
      </c>
      <c r="D88" s="379"/>
      <c r="E88" s="379" t="s">
        <v>635</v>
      </c>
      <c r="F88" s="379" t="s">
        <v>635</v>
      </c>
      <c r="G88" s="379" t="s">
        <v>635</v>
      </c>
      <c r="H88" s="379" t="s">
        <v>635</v>
      </c>
      <c r="I88" s="379" t="s">
        <v>635</v>
      </c>
      <c r="J88" s="379" t="s">
        <v>635</v>
      </c>
      <c r="K88" s="379" t="s">
        <v>635</v>
      </c>
      <c r="L88" s="379" t="s">
        <v>635</v>
      </c>
    </row>
    <row r="89" spans="2:12">
      <c r="B89" s="375" t="s">
        <v>629</v>
      </c>
      <c r="C89" s="384" t="s">
        <v>698</v>
      </c>
      <c r="D89" s="379"/>
      <c r="E89" s="379" t="s">
        <v>635</v>
      </c>
      <c r="F89" s="379" t="s">
        <v>635</v>
      </c>
      <c r="G89" s="379" t="s">
        <v>635</v>
      </c>
      <c r="H89" s="379" t="s">
        <v>635</v>
      </c>
      <c r="I89" s="379" t="s">
        <v>635</v>
      </c>
      <c r="J89" s="379" t="s">
        <v>635</v>
      </c>
      <c r="K89" s="379" t="s">
        <v>635</v>
      </c>
      <c r="L89" s="379" t="s">
        <v>635</v>
      </c>
    </row>
    <row r="90" spans="2:12">
      <c r="B90" s="375" t="s">
        <v>629</v>
      </c>
      <c r="C90" s="384" t="s">
        <v>699</v>
      </c>
      <c r="D90" s="379"/>
      <c r="E90" s="379"/>
      <c r="F90" s="379" t="s">
        <v>635</v>
      </c>
      <c r="G90" s="379" t="s">
        <v>635</v>
      </c>
      <c r="H90" s="379" t="s">
        <v>635</v>
      </c>
      <c r="I90" s="379" t="s">
        <v>635</v>
      </c>
      <c r="J90" s="379" t="s">
        <v>635</v>
      </c>
      <c r="K90" s="379" t="s">
        <v>635</v>
      </c>
      <c r="L90" s="379" t="s">
        <v>635</v>
      </c>
    </row>
    <row r="91" spans="2:12" ht="24">
      <c r="B91" s="376" t="s">
        <v>736</v>
      </c>
      <c r="C91" s="385" t="s">
        <v>700</v>
      </c>
      <c r="D91" s="379" t="s">
        <v>635</v>
      </c>
      <c r="E91" s="379"/>
      <c r="F91" s="379"/>
      <c r="G91" s="379"/>
      <c r="H91" s="379"/>
      <c r="I91" s="379"/>
      <c r="J91" s="379"/>
      <c r="K91" s="379"/>
      <c r="L91" s="379"/>
    </row>
    <row r="92" spans="2:12" ht="24">
      <c r="B92" s="376" t="s">
        <v>736</v>
      </c>
      <c r="C92" s="385" t="s">
        <v>701</v>
      </c>
      <c r="D92" s="379"/>
      <c r="E92" s="379"/>
      <c r="F92" s="379" t="s">
        <v>635</v>
      </c>
      <c r="G92" s="379" t="s">
        <v>635</v>
      </c>
      <c r="H92" s="379" t="s">
        <v>635</v>
      </c>
      <c r="I92" s="379" t="s">
        <v>635</v>
      </c>
      <c r="J92" s="379" t="s">
        <v>635</v>
      </c>
      <c r="K92" s="379" t="s">
        <v>635</v>
      </c>
      <c r="L92" s="379" t="s">
        <v>635</v>
      </c>
    </row>
    <row r="93" spans="2:12">
      <c r="B93" s="376" t="s">
        <v>736</v>
      </c>
      <c r="C93" s="385" t="s">
        <v>702</v>
      </c>
      <c r="D93" s="379"/>
      <c r="E93" s="379"/>
      <c r="F93" s="379"/>
      <c r="G93" s="379"/>
      <c r="H93" s="379"/>
      <c r="I93" s="379"/>
      <c r="J93" s="379"/>
      <c r="K93" s="379"/>
      <c r="L93" s="379" t="s">
        <v>635</v>
      </c>
    </row>
    <row r="94" spans="2:12" ht="28.5">
      <c r="B94" s="376" t="s">
        <v>221</v>
      </c>
      <c r="C94" s="385" t="s">
        <v>703</v>
      </c>
      <c r="D94" s="379"/>
      <c r="E94" s="379" t="s">
        <v>635</v>
      </c>
      <c r="F94" s="379"/>
      <c r="G94" s="379"/>
      <c r="H94" s="379"/>
      <c r="I94" s="379"/>
      <c r="J94" s="379"/>
      <c r="K94" s="379"/>
      <c r="L94" s="379"/>
    </row>
    <row r="95" spans="2:12" ht="28.5">
      <c r="B95" s="376" t="s">
        <v>221</v>
      </c>
      <c r="C95" s="385" t="s">
        <v>704</v>
      </c>
      <c r="D95" s="379"/>
      <c r="E95" s="379"/>
      <c r="F95" s="379"/>
      <c r="G95" s="379"/>
      <c r="H95" s="379" t="s">
        <v>635</v>
      </c>
      <c r="I95" s="379" t="s">
        <v>635</v>
      </c>
      <c r="J95" s="379" t="s">
        <v>635</v>
      </c>
      <c r="K95" s="379" t="s">
        <v>635</v>
      </c>
      <c r="L95" s="379" t="s">
        <v>635</v>
      </c>
    </row>
    <row r="96" spans="2:12" ht="28.5">
      <c r="B96" s="376" t="s">
        <v>221</v>
      </c>
      <c r="C96" s="385" t="s">
        <v>705</v>
      </c>
      <c r="D96" s="379"/>
      <c r="E96" s="379"/>
      <c r="F96" s="379"/>
      <c r="G96" s="379"/>
      <c r="H96" s="379"/>
      <c r="I96" s="379"/>
      <c r="J96" s="379"/>
      <c r="K96" s="379"/>
      <c r="L96" s="379" t="s">
        <v>635</v>
      </c>
    </row>
    <row r="97" spans="2:12" ht="24">
      <c r="B97" s="376" t="s">
        <v>222</v>
      </c>
      <c r="C97" s="385" t="s">
        <v>706</v>
      </c>
      <c r="D97" s="379" t="s">
        <v>635</v>
      </c>
      <c r="E97" s="379" t="s">
        <v>635</v>
      </c>
      <c r="F97" s="379" t="s">
        <v>635</v>
      </c>
      <c r="G97" s="379" t="s">
        <v>635</v>
      </c>
      <c r="H97" s="379" t="s">
        <v>635</v>
      </c>
      <c r="I97" s="379" t="s">
        <v>635</v>
      </c>
      <c r="J97" s="379" t="s">
        <v>635</v>
      </c>
      <c r="K97" s="379" t="s">
        <v>635</v>
      </c>
      <c r="L97" s="379" t="s">
        <v>635</v>
      </c>
    </row>
    <row r="98" spans="2:12" ht="24">
      <c r="B98" s="376" t="s">
        <v>222</v>
      </c>
      <c r="C98" s="385" t="s">
        <v>707</v>
      </c>
      <c r="D98" s="379"/>
      <c r="E98" s="379"/>
      <c r="F98" s="379" t="s">
        <v>635</v>
      </c>
      <c r="G98" s="379" t="s">
        <v>635</v>
      </c>
      <c r="H98" s="379" t="s">
        <v>635</v>
      </c>
      <c r="I98" s="379" t="s">
        <v>635</v>
      </c>
      <c r="J98" s="379" t="s">
        <v>635</v>
      </c>
      <c r="K98" s="379" t="s">
        <v>635</v>
      </c>
      <c r="L98" s="379" t="s">
        <v>635</v>
      </c>
    </row>
    <row r="99" spans="2:12" ht="24">
      <c r="B99" s="376" t="s">
        <v>222</v>
      </c>
      <c r="C99" s="385" t="s">
        <v>708</v>
      </c>
      <c r="D99" s="379"/>
      <c r="E99" s="379"/>
      <c r="F99" s="379"/>
      <c r="G99" s="379" t="s">
        <v>635</v>
      </c>
      <c r="H99" s="379"/>
      <c r="I99" s="379"/>
      <c r="J99" s="379"/>
      <c r="K99" s="379"/>
      <c r="L99" s="379"/>
    </row>
    <row r="100" spans="2:12">
      <c r="B100" s="376" t="s">
        <v>223</v>
      </c>
      <c r="C100" s="385" t="s">
        <v>709</v>
      </c>
      <c r="D100" s="379" t="s">
        <v>635</v>
      </c>
      <c r="E100" s="379" t="s">
        <v>635</v>
      </c>
      <c r="F100" s="379" t="s">
        <v>635</v>
      </c>
      <c r="G100" s="379" t="s">
        <v>635</v>
      </c>
      <c r="H100" s="379" t="s">
        <v>635</v>
      </c>
      <c r="I100" s="379" t="s">
        <v>635</v>
      </c>
      <c r="J100" s="379" t="s">
        <v>635</v>
      </c>
      <c r="K100" s="379" t="s">
        <v>635</v>
      </c>
      <c r="L100" s="379" t="s">
        <v>635</v>
      </c>
    </row>
    <row r="101" spans="2:12" ht="24">
      <c r="B101" s="376" t="s">
        <v>223</v>
      </c>
      <c r="C101" s="385" t="s">
        <v>710</v>
      </c>
      <c r="D101" s="379"/>
      <c r="E101" s="379"/>
      <c r="F101" s="379"/>
      <c r="G101" s="379" t="s">
        <v>635</v>
      </c>
      <c r="H101" s="379" t="s">
        <v>635</v>
      </c>
      <c r="I101" s="379" t="s">
        <v>635</v>
      </c>
      <c r="J101" s="379" t="s">
        <v>635</v>
      </c>
      <c r="K101" s="379" t="s">
        <v>635</v>
      </c>
      <c r="L101" s="379" t="s">
        <v>635</v>
      </c>
    </row>
    <row r="102" spans="2:12" ht="28.5">
      <c r="B102" s="376" t="s">
        <v>224</v>
      </c>
      <c r="C102" s="385" t="s">
        <v>711</v>
      </c>
      <c r="D102" s="379"/>
      <c r="E102" s="379" t="s">
        <v>635</v>
      </c>
      <c r="F102" s="379" t="s">
        <v>635</v>
      </c>
      <c r="G102" s="379" t="s">
        <v>635</v>
      </c>
      <c r="H102" s="379" t="s">
        <v>635</v>
      </c>
      <c r="I102" s="379" t="s">
        <v>635</v>
      </c>
      <c r="J102" s="379" t="s">
        <v>635</v>
      </c>
      <c r="K102" s="379" t="s">
        <v>635</v>
      </c>
      <c r="L102" s="379" t="s">
        <v>635</v>
      </c>
    </row>
    <row r="103" spans="2:12" ht="28.5">
      <c r="B103" s="376" t="s">
        <v>224</v>
      </c>
      <c r="C103" s="385" t="s">
        <v>712</v>
      </c>
      <c r="D103" s="379"/>
      <c r="E103" s="379"/>
      <c r="F103" s="379" t="s">
        <v>635</v>
      </c>
      <c r="G103" s="379" t="s">
        <v>635</v>
      </c>
      <c r="H103" s="379" t="s">
        <v>635</v>
      </c>
      <c r="I103" s="379" t="s">
        <v>635</v>
      </c>
      <c r="J103" s="379" t="s">
        <v>635</v>
      </c>
      <c r="K103" s="379" t="s">
        <v>635</v>
      </c>
      <c r="L103" s="379" t="s">
        <v>635</v>
      </c>
    </row>
    <row r="104" spans="2:12" ht="28.5">
      <c r="B104" s="376" t="s">
        <v>224</v>
      </c>
      <c r="C104" s="385" t="s">
        <v>713</v>
      </c>
      <c r="D104" s="379"/>
      <c r="E104" s="379"/>
      <c r="F104" s="379"/>
      <c r="G104" s="379" t="s">
        <v>635</v>
      </c>
      <c r="H104" s="379"/>
      <c r="I104" s="379"/>
      <c r="J104" s="379"/>
      <c r="K104" s="379"/>
      <c r="L104" s="379"/>
    </row>
    <row r="105" spans="2:12" ht="36">
      <c r="B105" s="377" t="s">
        <v>225</v>
      </c>
      <c r="C105" s="386" t="s">
        <v>714</v>
      </c>
      <c r="D105" s="379" t="s">
        <v>635</v>
      </c>
      <c r="E105" s="379"/>
      <c r="F105" s="379"/>
      <c r="G105" s="379"/>
      <c r="H105" s="379"/>
      <c r="I105" s="379"/>
      <c r="J105" s="379"/>
      <c r="K105" s="379"/>
      <c r="L105" s="379"/>
    </row>
    <row r="106" spans="2:12" ht="28.5">
      <c r="B106" s="377" t="s">
        <v>225</v>
      </c>
      <c r="C106" s="386" t="s">
        <v>715</v>
      </c>
      <c r="D106" s="379" t="s">
        <v>635</v>
      </c>
      <c r="E106" s="379" t="s">
        <v>635</v>
      </c>
      <c r="F106" s="379" t="s">
        <v>635</v>
      </c>
      <c r="G106" s="379" t="s">
        <v>635</v>
      </c>
      <c r="H106" s="379" t="s">
        <v>635</v>
      </c>
      <c r="I106" s="379" t="s">
        <v>635</v>
      </c>
      <c r="J106" s="379" t="s">
        <v>635</v>
      </c>
      <c r="K106" s="379" t="s">
        <v>635</v>
      </c>
      <c r="L106" s="379" t="s">
        <v>635</v>
      </c>
    </row>
    <row r="107" spans="2:12" ht="28.5">
      <c r="B107" s="377" t="s">
        <v>226</v>
      </c>
      <c r="C107" s="386" t="s">
        <v>716</v>
      </c>
      <c r="D107" s="379" t="s">
        <v>635</v>
      </c>
      <c r="E107" s="379"/>
      <c r="F107" s="379"/>
      <c r="G107" s="379"/>
      <c r="H107" s="379"/>
      <c r="I107" s="379"/>
      <c r="J107" s="379"/>
      <c r="K107" s="379"/>
      <c r="L107" s="379"/>
    </row>
    <row r="108" spans="2:12" ht="28.5">
      <c r="B108" s="377" t="s">
        <v>226</v>
      </c>
      <c r="C108" s="386" t="s">
        <v>717</v>
      </c>
      <c r="D108" s="379"/>
      <c r="E108" s="379"/>
      <c r="F108" s="379" t="s">
        <v>635</v>
      </c>
      <c r="G108" s="379" t="s">
        <v>635</v>
      </c>
      <c r="H108" s="379" t="s">
        <v>635</v>
      </c>
      <c r="I108" s="379" t="s">
        <v>635</v>
      </c>
      <c r="J108" s="379" t="s">
        <v>635</v>
      </c>
      <c r="K108" s="379" t="s">
        <v>635</v>
      </c>
      <c r="L108" s="379" t="s">
        <v>635</v>
      </c>
    </row>
    <row r="109" spans="2:12" ht="28.5">
      <c r="B109" s="377" t="s">
        <v>226</v>
      </c>
      <c r="C109" s="386" t="s">
        <v>718</v>
      </c>
      <c r="D109" s="379"/>
      <c r="E109" s="379"/>
      <c r="F109" s="379"/>
      <c r="G109" s="379" t="s">
        <v>635</v>
      </c>
      <c r="H109" s="379"/>
      <c r="I109" s="379"/>
      <c r="J109" s="379"/>
      <c r="K109" s="379"/>
      <c r="L109" s="379"/>
    </row>
    <row r="110" spans="2:12" ht="42.75">
      <c r="B110" s="377" t="s">
        <v>227</v>
      </c>
      <c r="C110" s="386" t="s">
        <v>719</v>
      </c>
      <c r="D110" s="379" t="s">
        <v>635</v>
      </c>
      <c r="E110" s="379"/>
      <c r="F110" s="379"/>
      <c r="G110" s="379"/>
      <c r="H110" s="379"/>
      <c r="I110" s="379"/>
      <c r="J110" s="379"/>
      <c r="K110" s="379"/>
      <c r="L110" s="379"/>
    </row>
    <row r="111" spans="2:12" ht="42.75">
      <c r="B111" s="377" t="s">
        <v>227</v>
      </c>
      <c r="C111" s="386" t="s">
        <v>720</v>
      </c>
      <c r="D111" s="379" t="s">
        <v>635</v>
      </c>
      <c r="E111" s="379"/>
      <c r="F111" s="379"/>
      <c r="G111" s="379"/>
      <c r="H111" s="379"/>
      <c r="I111" s="379"/>
      <c r="J111" s="379"/>
      <c r="K111" s="379"/>
      <c r="L111" s="379"/>
    </row>
    <row r="112" spans="2:12" ht="42.75">
      <c r="B112" s="377" t="s">
        <v>227</v>
      </c>
      <c r="C112" s="386" t="s">
        <v>721</v>
      </c>
      <c r="D112" s="379" t="s">
        <v>635</v>
      </c>
      <c r="E112" s="379" t="s">
        <v>635</v>
      </c>
      <c r="F112" s="379" t="s">
        <v>635</v>
      </c>
      <c r="G112" s="379" t="s">
        <v>635</v>
      </c>
      <c r="H112" s="379" t="s">
        <v>635</v>
      </c>
      <c r="I112" s="379" t="s">
        <v>635</v>
      </c>
      <c r="J112" s="379" t="s">
        <v>635</v>
      </c>
      <c r="K112" s="379" t="s">
        <v>635</v>
      </c>
      <c r="L112" s="379" t="s">
        <v>635</v>
      </c>
    </row>
    <row r="113" spans="2:12" ht="28.5">
      <c r="B113" s="377" t="s">
        <v>228</v>
      </c>
      <c r="C113" s="386" t="s">
        <v>722</v>
      </c>
      <c r="D113" s="379"/>
      <c r="E113" s="379" t="s">
        <v>635</v>
      </c>
      <c r="F113" s="379"/>
      <c r="G113" s="379"/>
      <c r="H113" s="379"/>
      <c r="I113" s="379"/>
      <c r="J113" s="379"/>
      <c r="K113" s="379"/>
      <c r="L113" s="379"/>
    </row>
    <row r="114" spans="2:12" ht="28.5">
      <c r="B114" s="377" t="s">
        <v>228</v>
      </c>
      <c r="C114" s="386" t="s">
        <v>723</v>
      </c>
      <c r="D114" s="379"/>
      <c r="E114" s="379"/>
      <c r="F114" s="379" t="s">
        <v>635</v>
      </c>
      <c r="G114" s="379" t="s">
        <v>635</v>
      </c>
      <c r="H114" s="379" t="s">
        <v>635</v>
      </c>
      <c r="I114" s="379" t="s">
        <v>635</v>
      </c>
      <c r="J114" s="379" t="s">
        <v>635</v>
      </c>
      <c r="K114" s="379" t="s">
        <v>635</v>
      </c>
      <c r="L114" s="379" t="s">
        <v>635</v>
      </c>
    </row>
    <row r="115" spans="2:12" ht="28.5">
      <c r="B115" s="377" t="s">
        <v>228</v>
      </c>
      <c r="C115" s="386" t="s">
        <v>724</v>
      </c>
      <c r="D115" s="379"/>
      <c r="E115" s="379"/>
      <c r="F115" s="379"/>
      <c r="G115" s="379" t="s">
        <v>635</v>
      </c>
      <c r="H115" s="379" t="s">
        <v>635</v>
      </c>
      <c r="I115" s="379" t="s">
        <v>635</v>
      </c>
      <c r="J115" s="379" t="s">
        <v>635</v>
      </c>
      <c r="K115" s="379" t="s">
        <v>635</v>
      </c>
      <c r="L115" s="379" t="s">
        <v>635</v>
      </c>
    </row>
    <row r="116" spans="2:12" ht="28.5">
      <c r="B116" s="377" t="s">
        <v>229</v>
      </c>
      <c r="C116" s="386" t="s">
        <v>725</v>
      </c>
      <c r="D116" s="379" t="s">
        <v>635</v>
      </c>
      <c r="E116" s="379" t="s">
        <v>635</v>
      </c>
      <c r="F116" s="379" t="s">
        <v>635</v>
      </c>
      <c r="G116" s="379" t="s">
        <v>635</v>
      </c>
      <c r="H116" s="379" t="s">
        <v>635</v>
      </c>
      <c r="I116" s="379" t="s">
        <v>635</v>
      </c>
      <c r="J116" s="379" t="s">
        <v>635</v>
      </c>
      <c r="K116" s="379" t="s">
        <v>635</v>
      </c>
      <c r="L116" s="379" t="s">
        <v>635</v>
      </c>
    </row>
    <row r="117" spans="2:12" ht="28.5">
      <c r="B117" s="377" t="s">
        <v>229</v>
      </c>
      <c r="C117" s="386" t="s">
        <v>726</v>
      </c>
      <c r="D117" s="379"/>
      <c r="E117" s="379" t="s">
        <v>635</v>
      </c>
      <c r="F117" s="379" t="s">
        <v>635</v>
      </c>
      <c r="G117" s="379" t="s">
        <v>635</v>
      </c>
      <c r="H117" s="379" t="s">
        <v>635</v>
      </c>
      <c r="I117" s="379" t="s">
        <v>635</v>
      </c>
      <c r="J117" s="379" t="s">
        <v>635</v>
      </c>
      <c r="K117" s="379" t="s">
        <v>635</v>
      </c>
      <c r="L117" s="379" t="s">
        <v>635</v>
      </c>
    </row>
    <row r="118" spans="2:12" ht="28.5">
      <c r="B118" s="377" t="s">
        <v>230</v>
      </c>
      <c r="C118" s="386" t="s">
        <v>727</v>
      </c>
      <c r="D118" s="379" t="s">
        <v>635</v>
      </c>
      <c r="E118" s="379" t="s">
        <v>635</v>
      </c>
      <c r="F118" s="379" t="s">
        <v>635</v>
      </c>
      <c r="G118" s="379" t="s">
        <v>635</v>
      </c>
      <c r="H118" s="379" t="s">
        <v>635</v>
      </c>
      <c r="I118" s="379" t="s">
        <v>635</v>
      </c>
      <c r="J118" s="379" t="s">
        <v>635</v>
      </c>
      <c r="K118" s="379" t="s">
        <v>635</v>
      </c>
      <c r="L118" s="379" t="s">
        <v>635</v>
      </c>
    </row>
    <row r="119" spans="2:12" ht="28.5">
      <c r="B119" s="377" t="s">
        <v>230</v>
      </c>
      <c r="C119" s="386" t="s">
        <v>728</v>
      </c>
      <c r="D119" s="379" t="s">
        <v>635</v>
      </c>
      <c r="E119" s="379"/>
      <c r="F119" s="379"/>
      <c r="G119" s="379"/>
      <c r="H119" s="379"/>
      <c r="I119" s="379"/>
      <c r="J119" s="379"/>
      <c r="K119" s="379"/>
      <c r="L119" s="379"/>
    </row>
    <row r="120" spans="2:12" ht="28.5">
      <c r="B120" s="377" t="s">
        <v>230</v>
      </c>
      <c r="C120" s="386" t="s">
        <v>729</v>
      </c>
      <c r="D120" s="379"/>
      <c r="E120" s="379" t="s">
        <v>635</v>
      </c>
      <c r="F120" s="379"/>
      <c r="G120" s="379"/>
      <c r="H120" s="379"/>
      <c r="I120" s="379"/>
      <c r="J120" s="379"/>
      <c r="K120" s="379"/>
      <c r="L120" s="379"/>
    </row>
    <row r="121" spans="2:12" ht="28.5">
      <c r="B121" s="377" t="s">
        <v>230</v>
      </c>
      <c r="C121" s="386" t="s">
        <v>730</v>
      </c>
      <c r="D121" s="379" t="s">
        <v>635</v>
      </c>
      <c r="E121" s="379" t="s">
        <v>635</v>
      </c>
      <c r="F121" s="379" t="s">
        <v>635</v>
      </c>
      <c r="G121" s="379" t="s">
        <v>635</v>
      </c>
      <c r="H121" s="379" t="s">
        <v>635</v>
      </c>
      <c r="I121" s="379" t="s">
        <v>635</v>
      </c>
      <c r="J121" s="379" t="s">
        <v>635</v>
      </c>
      <c r="K121" s="379" t="s">
        <v>635</v>
      </c>
      <c r="L121" s="379" t="s">
        <v>635</v>
      </c>
    </row>
  </sheetData>
  <phoneticPr fontId="68" type="noConversion"/>
  <conditionalFormatting sqref="D24:L121">
    <cfRule type="cellIs" dxfId="0" priority="1" operator="equal">
      <formula>"oui"</formula>
    </cfRule>
  </conditionalFormatting>
  <pageMargins left="0.7" right="0.7" top="1.3149999999999999" bottom="0.75" header="0.3" footer="0.3"/>
  <pageSetup paperSize="9" scale="95"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0EBFC95454524D8AC3FDEB8E74D5C6" ma:contentTypeVersion="14" ma:contentTypeDescription="Crée un document." ma:contentTypeScope="" ma:versionID="862cc9e7900429b72e3500733ed4ad92">
  <xsd:schema xmlns:xsd="http://www.w3.org/2001/XMLSchema" xmlns:xs="http://www.w3.org/2001/XMLSchema" xmlns:p="http://schemas.microsoft.com/office/2006/metadata/properties" xmlns:ns2="951522d8-bd50-45a5-9245-76b696a62931" xmlns:ns3="30d573f8-32b5-4cc2-8ba1-a29f7b243618" targetNamespace="http://schemas.microsoft.com/office/2006/metadata/properties" ma:root="true" ma:fieldsID="23db9dd4bce35b57e9e24ccfbea4566b" ns2:_="" ns3:_="">
    <xsd:import namespace="951522d8-bd50-45a5-9245-76b696a62931"/>
    <xsd:import namespace="30d573f8-32b5-4cc2-8ba1-a29f7b24361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1522d8-bd50-45a5-9245-76b696a629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alises d’images" ma:readOnly="false" ma:fieldId="{5cf76f15-5ced-4ddc-b409-7134ff3c332f}" ma:taxonomyMulti="true" ma:sspId="63817f66-a7ac-4a36-990f-06521c3e02ee"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0d573f8-32b5-4cc2-8ba1-a29f7b24361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5ecf2f6-c3f1-438f-bd8c-6acfdb1ce811}" ma:internalName="TaxCatchAll" ma:showField="CatchAllData" ma:web="30d573f8-32b5-4cc2-8ba1-a29f7b243618">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0d573f8-32b5-4cc2-8ba1-a29f7b243618" xsi:nil="true"/>
    <lcf76f155ced4ddcb4097134ff3c332f xmlns="951522d8-bd50-45a5-9245-76b696a62931">
      <Terms xmlns="http://schemas.microsoft.com/office/infopath/2007/PartnerControls"/>
    </lcf76f155ced4ddcb4097134ff3c332f>
    <MediaLengthInSeconds xmlns="951522d8-bd50-45a5-9245-76b696a62931" xsi:nil="true"/>
  </documentManagement>
</p:properties>
</file>

<file path=customXml/itemProps1.xml><?xml version="1.0" encoding="utf-8"?>
<ds:datastoreItem xmlns:ds="http://schemas.openxmlformats.org/officeDocument/2006/customXml" ds:itemID="{49C928B3-033D-4B19-A32D-3030989484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1522d8-bd50-45a5-9245-76b696a62931"/>
    <ds:schemaRef ds:uri="30d573f8-32b5-4cc2-8ba1-a29f7b2436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42BEDE-1C82-4C34-85A3-EEEFA28EC4C0}">
  <ds:schemaRefs>
    <ds:schemaRef ds:uri="http://schemas.microsoft.com/sharepoint/v3/contenttype/forms"/>
  </ds:schemaRefs>
</ds:datastoreItem>
</file>

<file path=customXml/itemProps3.xml><?xml version="1.0" encoding="utf-8"?>
<ds:datastoreItem xmlns:ds="http://schemas.openxmlformats.org/officeDocument/2006/customXml" ds:itemID="{AC4E8877-EE76-438E-9D89-582E708026B1}">
  <ds:schemaRefs>
    <ds:schemaRef ds:uri="http://schemas.microsoft.com/office/2006/metadata/properties"/>
    <ds:schemaRef ds:uri="http://schemas.microsoft.com/office/infopath/2007/PartnerControls"/>
    <ds:schemaRef ds:uri="30d573f8-32b5-4cc2-8ba1-a29f7b243618"/>
    <ds:schemaRef ds:uri="951522d8-bd50-45a5-9245-76b696a6293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17</vt:i4>
      </vt:variant>
    </vt:vector>
  </HeadingPairs>
  <TitlesOfParts>
    <vt:vector size="27" baseType="lpstr">
      <vt:lpstr>Notice d'utilisation</vt:lpstr>
      <vt:lpstr>Synthèse plan d'actions</vt:lpstr>
      <vt:lpstr>Axe 1 Logement et bâti</vt:lpstr>
      <vt:lpstr>Axe 2 Déplacement</vt:lpstr>
      <vt:lpstr>Axe 3 Milieu naturel et prod</vt:lpstr>
      <vt:lpstr>Axe 4 Économie BC</vt:lpstr>
      <vt:lpstr>Axe 5 Exemplarité</vt:lpstr>
      <vt:lpstr>Axe Suivi qualité de l'air</vt:lpstr>
      <vt:lpstr>Récapitulatif évolution</vt:lpstr>
      <vt:lpstr>détail actions par an</vt:lpstr>
      <vt:lpstr>évol_polluants</vt:lpstr>
      <vt:lpstr>'Axe 1 Logement et bâti'!Print_Area</vt:lpstr>
      <vt:lpstr>'Axe 2 Déplacement'!Print_Area</vt:lpstr>
      <vt:lpstr>'Axe 3 Milieu naturel et prod'!Print_Area</vt:lpstr>
      <vt:lpstr>'Axe 4 Économie BC'!Print_Area</vt:lpstr>
      <vt:lpstr>'Axe 5 Exemplarité'!Print_Area</vt:lpstr>
      <vt:lpstr>'Axe Suivi qualité de l''air'!Print_Area</vt:lpstr>
      <vt:lpstr>'Notice d''utilisation'!Print_Area</vt:lpstr>
      <vt:lpstr>'Récapitulatif évolution'!Print_Area</vt:lpstr>
      <vt:lpstr>'Synthèse plan d''actions'!Print_Area</vt:lpstr>
      <vt:lpstr>'Axe 1 Logement et bâti'!Zone_d_impression</vt:lpstr>
      <vt:lpstr>'Axe 2 Déplacement'!Zone_d_impression</vt:lpstr>
      <vt:lpstr>'Axe 3 Milieu naturel et prod'!Zone_d_impression</vt:lpstr>
      <vt:lpstr>'Axe 4 Économie BC'!Zone_d_impression</vt:lpstr>
      <vt:lpstr>'Axe 5 Exemplarité'!Zone_d_impression</vt:lpstr>
      <vt:lpstr>'Axe Suivi qualité de l''air'!Zone_d_impression</vt:lpstr>
      <vt:lpstr>'détail actions par an'!Zone_d_impression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BISIAUX</dc:creator>
  <cp:lastModifiedBy>Julien Claux</cp:lastModifiedBy>
  <cp:lastPrinted>2023-07-13T08:06:08Z</cp:lastPrinted>
  <dcterms:created xsi:type="dcterms:W3CDTF">2006-09-16T00:00:00Z</dcterms:created>
  <dcterms:modified xsi:type="dcterms:W3CDTF">2023-07-13T08:29:31Z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1033-11.2.0.9070</vt:lpwstr>
  </property>
  <property fmtid="{D5CDD505-2E9C-101B-9397-08002B2CF9AE}" pid="3" name="ContentTypeId">
    <vt:lpwstr>0x010100400EBFC95454524D8AC3FDEB8E74D5C6</vt:lpwstr>
  </property>
  <property fmtid="{D5CDD505-2E9C-101B-9397-08002B2CF9AE}" pid="4" name="Order">
    <vt:r8>5045700</vt:r8>
  </property>
  <property fmtid="{D5CDD505-2E9C-101B-9397-08002B2CF9AE}" pid="5" name="TriggerFlowInfo">
    <vt:lpwstr/>
  </property>
  <property fmtid="{D5CDD505-2E9C-101B-9397-08002B2CF9AE}" pid="6" name="ComplianceAssetId">
    <vt:lpwstr/>
  </property>
  <property fmtid="{D5CDD505-2E9C-101B-9397-08002B2CF9AE}" pid="7" name="_ExtendedDescription">
    <vt:lpwstr/>
  </property>
  <property fmtid="{D5CDD505-2E9C-101B-9397-08002B2CF9AE}" pid="8" name="MediaServiceImageTags">
    <vt:lpwstr/>
  </property>
</Properties>
</file>